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760" yWindow="1760" windowWidth="23840" windowHeight="143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Middle!$A$1:$M$124</definedName>
    <definedName name="_xlnm.Print_Area" localSheetId="1">Poor!$A$1:$AK$83</definedName>
    <definedName name="_xlnm.Print_Area" localSheetId="3">Rich!$A$1:$M$124</definedName>
    <definedName name="_xlnm.Print_Area" localSheetId="0">V.Poor!$A$1:$M$124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8" l="1"/>
  <c r="B67" i="8"/>
  <c r="B68" i="8"/>
  <c r="B69" i="8"/>
  <c r="B70" i="8"/>
  <c r="B30" i="8"/>
  <c r="C30" i="8"/>
  <c r="D30" i="8"/>
  <c r="B31" i="8"/>
  <c r="C31" i="8"/>
  <c r="D31" i="8"/>
  <c r="B77" i="8"/>
  <c r="B79" i="8"/>
  <c r="B80" i="8"/>
  <c r="B79" i="1"/>
  <c r="G39" i="1"/>
  <c r="G39" i="7"/>
  <c r="G39" i="8"/>
  <c r="H80" i="8"/>
  <c r="I80" i="8"/>
  <c r="B78" i="1"/>
  <c r="T27" i="8"/>
  <c r="I92" i="9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0" i="8"/>
  <c r="I31" i="8"/>
  <c r="B39" i="8"/>
  <c r="B88" i="8"/>
  <c r="C39" i="8"/>
  <c r="C88" i="8"/>
  <c r="D88" i="8"/>
  <c r="H88" i="8"/>
  <c r="I88" i="8"/>
  <c r="B40" i="8"/>
  <c r="B89" i="8"/>
  <c r="C40" i="8"/>
  <c r="C89" i="8"/>
  <c r="D89" i="8"/>
  <c r="G40" i="8"/>
  <c r="H89" i="8"/>
  <c r="I89" i="8"/>
  <c r="B41" i="8"/>
  <c r="B90" i="8"/>
  <c r="C41" i="8"/>
  <c r="C90" i="8"/>
  <c r="D90" i="8"/>
  <c r="G41" i="8"/>
  <c r="H90" i="8"/>
  <c r="I90" i="8"/>
  <c r="B42" i="8"/>
  <c r="B91" i="8"/>
  <c r="C42" i="8"/>
  <c r="C91" i="8"/>
  <c r="D91" i="8"/>
  <c r="G42" i="8"/>
  <c r="H91" i="8"/>
  <c r="I91" i="8"/>
  <c r="B43" i="8"/>
  <c r="B92" i="8"/>
  <c r="C43" i="8"/>
  <c r="C92" i="8"/>
  <c r="D92" i="8"/>
  <c r="G43" i="8"/>
  <c r="H92" i="8"/>
  <c r="I92" i="8"/>
  <c r="B44" i="8"/>
  <c r="B93" i="8"/>
  <c r="C44" i="8"/>
  <c r="C93" i="8"/>
  <c r="D93" i="8"/>
  <c r="G44" i="8"/>
  <c r="H93" i="8"/>
  <c r="I93" i="8"/>
  <c r="B45" i="8"/>
  <c r="B94" i="8"/>
  <c r="C45" i="8"/>
  <c r="C94" i="8"/>
  <c r="D94" i="8"/>
  <c r="G45" i="8"/>
  <c r="H94" i="8"/>
  <c r="I94" i="8"/>
  <c r="B46" i="8"/>
  <c r="B95" i="8"/>
  <c r="C46" i="8"/>
  <c r="C95" i="8"/>
  <c r="D95" i="8"/>
  <c r="G46" i="8"/>
  <c r="H95" i="8"/>
  <c r="I95" i="8"/>
  <c r="B47" i="8"/>
  <c r="B96" i="8"/>
  <c r="C47" i="8"/>
  <c r="C96" i="8"/>
  <c r="D96" i="8"/>
  <c r="G47" i="8"/>
  <c r="H96" i="8"/>
  <c r="I96" i="8"/>
  <c r="B48" i="8"/>
  <c r="B97" i="8"/>
  <c r="C48" i="8"/>
  <c r="C97" i="8"/>
  <c r="D97" i="8"/>
  <c r="G48" i="8"/>
  <c r="H97" i="8"/>
  <c r="I97" i="8"/>
  <c r="B49" i="8"/>
  <c r="B98" i="8"/>
  <c r="C49" i="8"/>
  <c r="C98" i="8"/>
  <c r="D98" i="8"/>
  <c r="G49" i="8"/>
  <c r="H98" i="8"/>
  <c r="I98" i="8"/>
  <c r="B50" i="8"/>
  <c r="B99" i="8"/>
  <c r="C50" i="8"/>
  <c r="C99" i="8"/>
  <c r="D99" i="8"/>
  <c r="G50" i="8"/>
  <c r="H99" i="8"/>
  <c r="I99" i="8"/>
  <c r="B51" i="8"/>
  <c r="B100" i="8"/>
  <c r="C51" i="8"/>
  <c r="C100" i="8"/>
  <c r="D100" i="8"/>
  <c r="G51" i="8"/>
  <c r="H100" i="8"/>
  <c r="I100" i="8"/>
  <c r="B52" i="8"/>
  <c r="B101" i="8"/>
  <c r="C52" i="8"/>
  <c r="C101" i="8"/>
  <c r="D101" i="8"/>
  <c r="G52" i="8"/>
  <c r="H101" i="8"/>
  <c r="I101" i="8"/>
  <c r="B53" i="8"/>
  <c r="B102" i="8"/>
  <c r="C53" i="8"/>
  <c r="C102" i="8"/>
  <c r="D102" i="8"/>
  <c r="G53" i="8"/>
  <c r="H102" i="8"/>
  <c r="I102" i="8"/>
  <c r="B54" i="8"/>
  <c r="B103" i="8"/>
  <c r="C54" i="8"/>
  <c r="C103" i="8"/>
  <c r="D103" i="8"/>
  <c r="G54" i="8"/>
  <c r="H103" i="8"/>
  <c r="I103" i="8"/>
  <c r="B55" i="8"/>
  <c r="B104" i="8"/>
  <c r="C55" i="8"/>
  <c r="C104" i="8"/>
  <c r="D104" i="8"/>
  <c r="G55" i="8"/>
  <c r="H104" i="8"/>
  <c r="I104" i="8"/>
  <c r="B56" i="8"/>
  <c r="B105" i="8"/>
  <c r="C56" i="8"/>
  <c r="C105" i="8"/>
  <c r="D105" i="8"/>
  <c r="G56" i="8"/>
  <c r="H105" i="8"/>
  <c r="I105" i="8"/>
  <c r="B57" i="8"/>
  <c r="B106" i="8"/>
  <c r="C57" i="8"/>
  <c r="C106" i="8"/>
  <c r="D106" i="8"/>
  <c r="G57" i="8"/>
  <c r="H106" i="8"/>
  <c r="I106" i="8"/>
  <c r="B58" i="8"/>
  <c r="B107" i="8"/>
  <c r="C58" i="8"/>
  <c r="C107" i="8"/>
  <c r="D107" i="8"/>
  <c r="G58" i="8"/>
  <c r="H107" i="8"/>
  <c r="I107" i="8"/>
  <c r="B59" i="8"/>
  <c r="B108" i="8"/>
  <c r="C59" i="8"/>
  <c r="C108" i="8"/>
  <c r="D108" i="8"/>
  <c r="G59" i="8"/>
  <c r="H108" i="8"/>
  <c r="I108" i="8"/>
  <c r="B60" i="8"/>
  <c r="B109" i="8"/>
  <c r="C60" i="8"/>
  <c r="C109" i="8"/>
  <c r="D109" i="8"/>
  <c r="G60" i="8"/>
  <c r="H109" i="8"/>
  <c r="I109" i="8"/>
  <c r="B61" i="8"/>
  <c r="B110" i="8"/>
  <c r="C61" i="8"/>
  <c r="C110" i="8"/>
  <c r="D110" i="8"/>
  <c r="G61" i="8"/>
  <c r="H110" i="8"/>
  <c r="I110" i="8"/>
  <c r="I111" i="8"/>
  <c r="B116" i="8"/>
  <c r="H116" i="8"/>
  <c r="I116" i="8"/>
  <c r="I32" i="8"/>
  <c r="I34" i="8"/>
  <c r="B119" i="8"/>
  <c r="H117" i="8"/>
  <c r="H118" i="8"/>
  <c r="H119" i="8"/>
  <c r="I120" i="8"/>
  <c r="I123" i="8"/>
  <c r="K119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88" i="8"/>
  <c r="L88" i="8"/>
  <c r="K89" i="8"/>
  <c r="L89" i="8"/>
  <c r="K90" i="8"/>
  <c r="L90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L111" i="8"/>
  <c r="L116" i="8"/>
  <c r="B32" i="8"/>
  <c r="K32" i="8"/>
  <c r="B111" i="8"/>
  <c r="L32" i="8"/>
  <c r="L34" i="8"/>
  <c r="L119" i="8"/>
  <c r="J35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J29" i="8"/>
  <c r="M29" i="8"/>
  <c r="J30" i="8"/>
  <c r="M30" i="8"/>
  <c r="T7" i="8"/>
  <c r="J91" i="8"/>
  <c r="M91" i="8"/>
  <c r="J92" i="8"/>
  <c r="M92" i="8"/>
  <c r="J93" i="8"/>
  <c r="M93" i="8"/>
  <c r="J94" i="8"/>
  <c r="M94" i="8"/>
  <c r="J88" i="8"/>
  <c r="M88" i="8"/>
  <c r="J89" i="8"/>
  <c r="M89" i="8"/>
  <c r="J90" i="8"/>
  <c r="M90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I88" i="9"/>
  <c r="I101" i="9"/>
  <c r="B78" i="7"/>
  <c r="B67" i="7"/>
  <c r="B68" i="7"/>
  <c r="B69" i="7"/>
  <c r="B70" i="7"/>
  <c r="B30" i="7"/>
  <c r="C30" i="7"/>
  <c r="D30" i="7"/>
  <c r="B31" i="7"/>
  <c r="C31" i="7"/>
  <c r="D31" i="7"/>
  <c r="B77" i="7"/>
  <c r="B79" i="7"/>
  <c r="B80" i="7"/>
  <c r="H80" i="7"/>
  <c r="I80" i="7"/>
  <c r="T27" i="7"/>
  <c r="H92" i="9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0" i="7"/>
  <c r="I31" i="7"/>
  <c r="B39" i="7"/>
  <c r="B88" i="7"/>
  <c r="C39" i="7"/>
  <c r="C88" i="7"/>
  <c r="D88" i="7"/>
  <c r="H88" i="7"/>
  <c r="I88" i="7"/>
  <c r="B40" i="7"/>
  <c r="B89" i="7"/>
  <c r="C40" i="7"/>
  <c r="C89" i="7"/>
  <c r="D89" i="7"/>
  <c r="G40" i="7"/>
  <c r="H89" i="7"/>
  <c r="I89" i="7"/>
  <c r="B41" i="7"/>
  <c r="B90" i="7"/>
  <c r="C41" i="7"/>
  <c r="C90" i="7"/>
  <c r="D90" i="7"/>
  <c r="G41" i="7"/>
  <c r="H90" i="7"/>
  <c r="I90" i="7"/>
  <c r="B42" i="7"/>
  <c r="B91" i="7"/>
  <c r="C42" i="7"/>
  <c r="C91" i="7"/>
  <c r="D91" i="7"/>
  <c r="G42" i="7"/>
  <c r="H91" i="7"/>
  <c r="I91" i="7"/>
  <c r="B43" i="7"/>
  <c r="B92" i="7"/>
  <c r="C43" i="7"/>
  <c r="C92" i="7"/>
  <c r="D92" i="7"/>
  <c r="G43" i="7"/>
  <c r="H92" i="7"/>
  <c r="I92" i="7"/>
  <c r="B44" i="7"/>
  <c r="B93" i="7"/>
  <c r="C44" i="7"/>
  <c r="C93" i="7"/>
  <c r="D93" i="7"/>
  <c r="G44" i="7"/>
  <c r="H93" i="7"/>
  <c r="I93" i="7"/>
  <c r="B45" i="7"/>
  <c r="B94" i="7"/>
  <c r="C45" i="7"/>
  <c r="C94" i="7"/>
  <c r="D94" i="7"/>
  <c r="G45" i="7"/>
  <c r="H94" i="7"/>
  <c r="I94" i="7"/>
  <c r="B46" i="7"/>
  <c r="B95" i="7"/>
  <c r="C46" i="7"/>
  <c r="C95" i="7"/>
  <c r="D95" i="7"/>
  <c r="G46" i="7"/>
  <c r="H95" i="7"/>
  <c r="I95" i="7"/>
  <c r="B47" i="7"/>
  <c r="B96" i="7"/>
  <c r="C47" i="7"/>
  <c r="C96" i="7"/>
  <c r="D96" i="7"/>
  <c r="G47" i="7"/>
  <c r="H96" i="7"/>
  <c r="I96" i="7"/>
  <c r="B48" i="7"/>
  <c r="B97" i="7"/>
  <c r="C48" i="7"/>
  <c r="C97" i="7"/>
  <c r="D97" i="7"/>
  <c r="G48" i="7"/>
  <c r="H97" i="7"/>
  <c r="I97" i="7"/>
  <c r="B49" i="7"/>
  <c r="B98" i="7"/>
  <c r="C49" i="7"/>
  <c r="C98" i="7"/>
  <c r="D98" i="7"/>
  <c r="G49" i="7"/>
  <c r="H98" i="7"/>
  <c r="I98" i="7"/>
  <c r="B50" i="7"/>
  <c r="B99" i="7"/>
  <c r="C50" i="7"/>
  <c r="C99" i="7"/>
  <c r="D99" i="7"/>
  <c r="G50" i="7"/>
  <c r="H99" i="7"/>
  <c r="I99" i="7"/>
  <c r="B51" i="7"/>
  <c r="B100" i="7"/>
  <c r="C51" i="7"/>
  <c r="C100" i="7"/>
  <c r="D100" i="7"/>
  <c r="G51" i="7"/>
  <c r="H100" i="7"/>
  <c r="I100" i="7"/>
  <c r="B52" i="7"/>
  <c r="B101" i="7"/>
  <c r="C52" i="7"/>
  <c r="C101" i="7"/>
  <c r="D101" i="7"/>
  <c r="G52" i="7"/>
  <c r="H101" i="7"/>
  <c r="I101" i="7"/>
  <c r="B53" i="7"/>
  <c r="B102" i="7"/>
  <c r="C53" i="7"/>
  <c r="C102" i="7"/>
  <c r="D102" i="7"/>
  <c r="G53" i="7"/>
  <c r="H102" i="7"/>
  <c r="I102" i="7"/>
  <c r="B54" i="7"/>
  <c r="B103" i="7"/>
  <c r="C54" i="7"/>
  <c r="C103" i="7"/>
  <c r="D103" i="7"/>
  <c r="G54" i="7"/>
  <c r="H103" i="7"/>
  <c r="I103" i="7"/>
  <c r="B55" i="7"/>
  <c r="B104" i="7"/>
  <c r="C55" i="7"/>
  <c r="C104" i="7"/>
  <c r="D104" i="7"/>
  <c r="G55" i="7"/>
  <c r="H104" i="7"/>
  <c r="I104" i="7"/>
  <c r="B56" i="7"/>
  <c r="B105" i="7"/>
  <c r="C56" i="7"/>
  <c r="C105" i="7"/>
  <c r="D105" i="7"/>
  <c r="G56" i="7"/>
  <c r="H105" i="7"/>
  <c r="I105" i="7"/>
  <c r="B57" i="7"/>
  <c r="B106" i="7"/>
  <c r="C57" i="7"/>
  <c r="C106" i="7"/>
  <c r="D106" i="7"/>
  <c r="G57" i="7"/>
  <c r="H106" i="7"/>
  <c r="I106" i="7"/>
  <c r="B58" i="7"/>
  <c r="B107" i="7"/>
  <c r="C58" i="7"/>
  <c r="C107" i="7"/>
  <c r="D107" i="7"/>
  <c r="G58" i="7"/>
  <c r="H107" i="7"/>
  <c r="I107" i="7"/>
  <c r="B59" i="7"/>
  <c r="B108" i="7"/>
  <c r="C59" i="7"/>
  <c r="C108" i="7"/>
  <c r="D108" i="7"/>
  <c r="G59" i="7"/>
  <c r="H108" i="7"/>
  <c r="I108" i="7"/>
  <c r="B60" i="7"/>
  <c r="B109" i="7"/>
  <c r="C60" i="7"/>
  <c r="C109" i="7"/>
  <c r="D109" i="7"/>
  <c r="G60" i="7"/>
  <c r="H109" i="7"/>
  <c r="I109" i="7"/>
  <c r="B61" i="7"/>
  <c r="B110" i="7"/>
  <c r="C61" i="7"/>
  <c r="C110" i="7"/>
  <c r="D110" i="7"/>
  <c r="G61" i="7"/>
  <c r="H110" i="7"/>
  <c r="I110" i="7"/>
  <c r="I111" i="7"/>
  <c r="B116" i="7"/>
  <c r="H116" i="7"/>
  <c r="I116" i="7"/>
  <c r="I32" i="7"/>
  <c r="I34" i="7"/>
  <c r="B119" i="7"/>
  <c r="H117" i="7"/>
  <c r="H118" i="7"/>
  <c r="H119" i="7"/>
  <c r="I120" i="7"/>
  <c r="I123" i="7"/>
  <c r="K119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L111" i="7"/>
  <c r="L116" i="7"/>
  <c r="B32" i="7"/>
  <c r="K32" i="7"/>
  <c r="B111" i="7"/>
  <c r="L32" i="7"/>
  <c r="L34" i="7"/>
  <c r="L119" i="7"/>
  <c r="J35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J29" i="7"/>
  <c r="M29" i="7"/>
  <c r="J30" i="7"/>
  <c r="M30" i="7"/>
  <c r="T7" i="7"/>
  <c r="J91" i="7"/>
  <c r="M91" i="7"/>
  <c r="J92" i="7"/>
  <c r="M92" i="7"/>
  <c r="J93" i="7"/>
  <c r="M93" i="7"/>
  <c r="J94" i="7"/>
  <c r="M94" i="7"/>
  <c r="J88" i="7"/>
  <c r="M88" i="7"/>
  <c r="J89" i="7"/>
  <c r="M89" i="7"/>
  <c r="J90" i="7"/>
  <c r="M90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H88" i="9"/>
  <c r="H101" i="9"/>
  <c r="B67" i="1"/>
  <c r="B68" i="1"/>
  <c r="B69" i="1"/>
  <c r="B70" i="1"/>
  <c r="B30" i="1"/>
  <c r="C30" i="1"/>
  <c r="D30" i="1"/>
  <c r="F7" i="1"/>
  <c r="H30" i="1"/>
  <c r="B31" i="1"/>
  <c r="C31" i="1"/>
  <c r="D31" i="1"/>
  <c r="H31" i="1"/>
  <c r="B77" i="1"/>
  <c r="B80" i="1"/>
  <c r="H80" i="1"/>
  <c r="I80" i="1"/>
  <c r="T27" i="1"/>
  <c r="G92" i="9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0" i="1"/>
  <c r="I31" i="1"/>
  <c r="B39" i="1"/>
  <c r="B88" i="1"/>
  <c r="C39" i="1"/>
  <c r="C88" i="1"/>
  <c r="D88" i="1"/>
  <c r="H88" i="1"/>
  <c r="I88" i="1"/>
  <c r="B40" i="1"/>
  <c r="B89" i="1"/>
  <c r="C40" i="1"/>
  <c r="C89" i="1"/>
  <c r="D89" i="1"/>
  <c r="G40" i="1"/>
  <c r="H89" i="1"/>
  <c r="I89" i="1"/>
  <c r="B41" i="1"/>
  <c r="B90" i="1"/>
  <c r="C41" i="1"/>
  <c r="C90" i="1"/>
  <c r="D90" i="1"/>
  <c r="G41" i="1"/>
  <c r="H90" i="1"/>
  <c r="I90" i="1"/>
  <c r="B42" i="1"/>
  <c r="B91" i="1"/>
  <c r="C42" i="1"/>
  <c r="C91" i="1"/>
  <c r="D91" i="1"/>
  <c r="G42" i="1"/>
  <c r="H91" i="1"/>
  <c r="I91" i="1"/>
  <c r="B43" i="1"/>
  <c r="B92" i="1"/>
  <c r="C43" i="1"/>
  <c r="C92" i="1"/>
  <c r="D92" i="1"/>
  <c r="G43" i="1"/>
  <c r="H92" i="1"/>
  <c r="I92" i="1"/>
  <c r="B44" i="1"/>
  <c r="B93" i="1"/>
  <c r="C44" i="1"/>
  <c r="C93" i="1"/>
  <c r="D93" i="1"/>
  <c r="G44" i="1"/>
  <c r="H93" i="1"/>
  <c r="I93" i="1"/>
  <c r="B45" i="1"/>
  <c r="B94" i="1"/>
  <c r="C45" i="1"/>
  <c r="C94" i="1"/>
  <c r="D94" i="1"/>
  <c r="G45" i="1"/>
  <c r="H94" i="1"/>
  <c r="I94" i="1"/>
  <c r="B46" i="1"/>
  <c r="B95" i="1"/>
  <c r="C46" i="1"/>
  <c r="C95" i="1"/>
  <c r="D95" i="1"/>
  <c r="G46" i="1"/>
  <c r="H95" i="1"/>
  <c r="I95" i="1"/>
  <c r="B47" i="1"/>
  <c r="B96" i="1"/>
  <c r="C47" i="1"/>
  <c r="C96" i="1"/>
  <c r="D96" i="1"/>
  <c r="G47" i="1"/>
  <c r="H96" i="1"/>
  <c r="I96" i="1"/>
  <c r="B48" i="1"/>
  <c r="B97" i="1"/>
  <c r="C48" i="1"/>
  <c r="C97" i="1"/>
  <c r="D97" i="1"/>
  <c r="G48" i="1"/>
  <c r="H97" i="1"/>
  <c r="I97" i="1"/>
  <c r="B49" i="1"/>
  <c r="B98" i="1"/>
  <c r="C49" i="1"/>
  <c r="C98" i="1"/>
  <c r="D98" i="1"/>
  <c r="G49" i="1"/>
  <c r="H98" i="1"/>
  <c r="I98" i="1"/>
  <c r="B50" i="1"/>
  <c r="B99" i="1"/>
  <c r="C50" i="1"/>
  <c r="C99" i="1"/>
  <c r="D99" i="1"/>
  <c r="G50" i="1"/>
  <c r="H99" i="1"/>
  <c r="I99" i="1"/>
  <c r="B51" i="1"/>
  <c r="B100" i="1"/>
  <c r="C51" i="1"/>
  <c r="C100" i="1"/>
  <c r="D100" i="1"/>
  <c r="G51" i="1"/>
  <c r="H100" i="1"/>
  <c r="I100" i="1"/>
  <c r="B52" i="1"/>
  <c r="B101" i="1"/>
  <c r="C52" i="1"/>
  <c r="C101" i="1"/>
  <c r="D101" i="1"/>
  <c r="G52" i="1"/>
  <c r="H101" i="1"/>
  <c r="I101" i="1"/>
  <c r="B53" i="1"/>
  <c r="B102" i="1"/>
  <c r="C53" i="1"/>
  <c r="C102" i="1"/>
  <c r="D102" i="1"/>
  <c r="G53" i="1"/>
  <c r="H102" i="1"/>
  <c r="I102" i="1"/>
  <c r="B54" i="1"/>
  <c r="B103" i="1"/>
  <c r="C54" i="1"/>
  <c r="C103" i="1"/>
  <c r="D103" i="1"/>
  <c r="G54" i="1"/>
  <c r="H103" i="1"/>
  <c r="I103" i="1"/>
  <c r="B55" i="1"/>
  <c r="B104" i="1"/>
  <c r="C55" i="1"/>
  <c r="C104" i="1"/>
  <c r="D104" i="1"/>
  <c r="G55" i="1"/>
  <c r="H104" i="1"/>
  <c r="I104" i="1"/>
  <c r="B56" i="1"/>
  <c r="B105" i="1"/>
  <c r="C56" i="1"/>
  <c r="C105" i="1"/>
  <c r="D105" i="1"/>
  <c r="G56" i="1"/>
  <c r="H105" i="1"/>
  <c r="I105" i="1"/>
  <c r="B57" i="1"/>
  <c r="B106" i="1"/>
  <c r="C57" i="1"/>
  <c r="C106" i="1"/>
  <c r="D106" i="1"/>
  <c r="G57" i="1"/>
  <c r="H106" i="1"/>
  <c r="I106" i="1"/>
  <c r="B58" i="1"/>
  <c r="B107" i="1"/>
  <c r="C58" i="1"/>
  <c r="C107" i="1"/>
  <c r="D107" i="1"/>
  <c r="G58" i="1"/>
  <c r="H107" i="1"/>
  <c r="I107" i="1"/>
  <c r="B59" i="1"/>
  <c r="B108" i="1"/>
  <c r="C59" i="1"/>
  <c r="C108" i="1"/>
  <c r="D108" i="1"/>
  <c r="G59" i="1"/>
  <c r="H108" i="1"/>
  <c r="I108" i="1"/>
  <c r="B60" i="1"/>
  <c r="B109" i="1"/>
  <c r="C60" i="1"/>
  <c r="C109" i="1"/>
  <c r="D109" i="1"/>
  <c r="G60" i="1"/>
  <c r="H109" i="1"/>
  <c r="I109" i="1"/>
  <c r="B61" i="1"/>
  <c r="B110" i="1"/>
  <c r="C61" i="1"/>
  <c r="C110" i="1"/>
  <c r="D110" i="1"/>
  <c r="G61" i="1"/>
  <c r="H110" i="1"/>
  <c r="I110" i="1"/>
  <c r="I111" i="1"/>
  <c r="B116" i="1"/>
  <c r="H116" i="1"/>
  <c r="I116" i="1"/>
  <c r="I32" i="1"/>
  <c r="I34" i="1"/>
  <c r="B117" i="1"/>
  <c r="B118" i="1"/>
  <c r="B119" i="1"/>
  <c r="H117" i="1"/>
  <c r="H118" i="1"/>
  <c r="H119" i="1"/>
  <c r="I120" i="1"/>
  <c r="I123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T7" i="1"/>
  <c r="J91" i="1"/>
  <c r="M91" i="1"/>
  <c r="J92" i="1"/>
  <c r="M92" i="1"/>
  <c r="J93" i="1"/>
  <c r="M93" i="1"/>
  <c r="J94" i="1"/>
  <c r="M94" i="1"/>
  <c r="J88" i="1"/>
  <c r="M88" i="1"/>
  <c r="J89" i="1"/>
  <c r="M89" i="1"/>
  <c r="J90" i="1"/>
  <c r="M90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G88" i="9"/>
  <c r="G101" i="9"/>
  <c r="B78" i="12"/>
  <c r="B67" i="12"/>
  <c r="B68" i="12"/>
  <c r="B69" i="12"/>
  <c r="B70" i="12"/>
  <c r="B30" i="12"/>
  <c r="C30" i="12"/>
  <c r="D30" i="12"/>
  <c r="B31" i="12"/>
  <c r="C31" i="12"/>
  <c r="D31" i="12"/>
  <c r="B77" i="12"/>
  <c r="B79" i="12"/>
  <c r="B80" i="12"/>
  <c r="G39" i="12"/>
  <c r="H80" i="12"/>
  <c r="I80" i="12"/>
  <c r="T27" i="12"/>
  <c r="F92" i="9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I30" i="12"/>
  <c r="I31" i="12"/>
  <c r="B39" i="12"/>
  <c r="B88" i="12"/>
  <c r="C39" i="12"/>
  <c r="C88" i="12"/>
  <c r="D88" i="12"/>
  <c r="H88" i="12"/>
  <c r="I88" i="12"/>
  <c r="B40" i="12"/>
  <c r="B89" i="12"/>
  <c r="C40" i="12"/>
  <c r="C89" i="12"/>
  <c r="D89" i="12"/>
  <c r="G40" i="12"/>
  <c r="H89" i="12"/>
  <c r="I89" i="12"/>
  <c r="B41" i="12"/>
  <c r="B90" i="12"/>
  <c r="C41" i="12"/>
  <c r="C90" i="12"/>
  <c r="D90" i="12"/>
  <c r="G41" i="12"/>
  <c r="H90" i="12"/>
  <c r="I90" i="12"/>
  <c r="B42" i="12"/>
  <c r="B91" i="12"/>
  <c r="C42" i="12"/>
  <c r="C91" i="12"/>
  <c r="D91" i="12"/>
  <c r="G42" i="12"/>
  <c r="H91" i="12"/>
  <c r="I91" i="12"/>
  <c r="B43" i="12"/>
  <c r="B92" i="12"/>
  <c r="C43" i="12"/>
  <c r="C92" i="12"/>
  <c r="D92" i="12"/>
  <c r="G43" i="12"/>
  <c r="H92" i="12"/>
  <c r="I92" i="12"/>
  <c r="B44" i="12"/>
  <c r="B93" i="12"/>
  <c r="C44" i="12"/>
  <c r="C93" i="12"/>
  <c r="D93" i="12"/>
  <c r="G44" i="12"/>
  <c r="H93" i="12"/>
  <c r="I93" i="12"/>
  <c r="B45" i="12"/>
  <c r="B94" i="12"/>
  <c r="C45" i="12"/>
  <c r="C94" i="12"/>
  <c r="D94" i="12"/>
  <c r="G45" i="12"/>
  <c r="H94" i="12"/>
  <c r="I94" i="12"/>
  <c r="B46" i="12"/>
  <c r="B95" i="12"/>
  <c r="C46" i="12"/>
  <c r="C95" i="12"/>
  <c r="D95" i="12"/>
  <c r="G46" i="12"/>
  <c r="H95" i="12"/>
  <c r="I95" i="12"/>
  <c r="B47" i="12"/>
  <c r="B96" i="12"/>
  <c r="C47" i="12"/>
  <c r="C96" i="12"/>
  <c r="D96" i="12"/>
  <c r="G47" i="12"/>
  <c r="H96" i="12"/>
  <c r="I96" i="12"/>
  <c r="B48" i="12"/>
  <c r="B97" i="12"/>
  <c r="C48" i="12"/>
  <c r="C97" i="12"/>
  <c r="D97" i="12"/>
  <c r="G48" i="12"/>
  <c r="H97" i="12"/>
  <c r="I97" i="12"/>
  <c r="B49" i="12"/>
  <c r="B98" i="12"/>
  <c r="C49" i="12"/>
  <c r="C98" i="12"/>
  <c r="D98" i="12"/>
  <c r="G49" i="12"/>
  <c r="H98" i="12"/>
  <c r="I98" i="12"/>
  <c r="B50" i="12"/>
  <c r="B99" i="12"/>
  <c r="C50" i="12"/>
  <c r="C99" i="12"/>
  <c r="D99" i="12"/>
  <c r="G50" i="12"/>
  <c r="H99" i="12"/>
  <c r="I99" i="12"/>
  <c r="B51" i="12"/>
  <c r="B100" i="12"/>
  <c r="C51" i="12"/>
  <c r="C100" i="12"/>
  <c r="D100" i="12"/>
  <c r="G51" i="12"/>
  <c r="H100" i="12"/>
  <c r="I100" i="12"/>
  <c r="B52" i="12"/>
  <c r="B101" i="12"/>
  <c r="C52" i="12"/>
  <c r="C101" i="12"/>
  <c r="D101" i="12"/>
  <c r="G52" i="12"/>
  <c r="H101" i="12"/>
  <c r="I101" i="12"/>
  <c r="B53" i="12"/>
  <c r="B102" i="12"/>
  <c r="C53" i="12"/>
  <c r="C102" i="12"/>
  <c r="D102" i="12"/>
  <c r="G53" i="12"/>
  <c r="H102" i="12"/>
  <c r="I102" i="12"/>
  <c r="B54" i="12"/>
  <c r="B103" i="12"/>
  <c r="C54" i="12"/>
  <c r="C103" i="12"/>
  <c r="D103" i="12"/>
  <c r="G54" i="12"/>
  <c r="H103" i="12"/>
  <c r="I103" i="12"/>
  <c r="B55" i="12"/>
  <c r="B104" i="12"/>
  <c r="C55" i="12"/>
  <c r="C104" i="12"/>
  <c r="D104" i="12"/>
  <c r="G55" i="12"/>
  <c r="H104" i="12"/>
  <c r="I104" i="12"/>
  <c r="B56" i="12"/>
  <c r="B105" i="12"/>
  <c r="C56" i="12"/>
  <c r="C105" i="12"/>
  <c r="D105" i="12"/>
  <c r="G56" i="12"/>
  <c r="H105" i="12"/>
  <c r="I105" i="12"/>
  <c r="B57" i="12"/>
  <c r="B106" i="12"/>
  <c r="C57" i="12"/>
  <c r="C106" i="12"/>
  <c r="D106" i="12"/>
  <c r="G57" i="12"/>
  <c r="H106" i="12"/>
  <c r="I106" i="12"/>
  <c r="B58" i="12"/>
  <c r="B107" i="12"/>
  <c r="C58" i="12"/>
  <c r="C107" i="12"/>
  <c r="D107" i="12"/>
  <c r="G58" i="12"/>
  <c r="H107" i="12"/>
  <c r="I107" i="12"/>
  <c r="B59" i="12"/>
  <c r="B108" i="12"/>
  <c r="C59" i="12"/>
  <c r="C108" i="12"/>
  <c r="D108" i="12"/>
  <c r="G59" i="12"/>
  <c r="H108" i="12"/>
  <c r="I108" i="12"/>
  <c r="B60" i="12"/>
  <c r="B109" i="12"/>
  <c r="C60" i="12"/>
  <c r="C109" i="12"/>
  <c r="D109" i="12"/>
  <c r="G60" i="12"/>
  <c r="H109" i="12"/>
  <c r="I109" i="12"/>
  <c r="B61" i="12"/>
  <c r="B110" i="12"/>
  <c r="C61" i="12"/>
  <c r="C110" i="12"/>
  <c r="D110" i="12"/>
  <c r="G61" i="12"/>
  <c r="H110" i="12"/>
  <c r="I110" i="12"/>
  <c r="I111" i="12"/>
  <c r="B116" i="12"/>
  <c r="H116" i="12"/>
  <c r="I116" i="12"/>
  <c r="I32" i="12"/>
  <c r="I34" i="12"/>
  <c r="B119" i="12"/>
  <c r="H117" i="12"/>
  <c r="H118" i="12"/>
  <c r="H119" i="12"/>
  <c r="I120" i="12"/>
  <c r="I123" i="12"/>
  <c r="K119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88" i="12"/>
  <c r="L88" i="12"/>
  <c r="K89" i="12"/>
  <c r="L89" i="12"/>
  <c r="K90" i="12"/>
  <c r="L90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L111" i="12"/>
  <c r="L116" i="12"/>
  <c r="B32" i="12"/>
  <c r="K32" i="12"/>
  <c r="B111" i="12"/>
  <c r="L32" i="12"/>
  <c r="L34" i="12"/>
  <c r="L119" i="12"/>
  <c r="J35" i="12"/>
  <c r="J9" i="12"/>
  <c r="M9" i="12"/>
  <c r="J10" i="12"/>
  <c r="M10" i="12"/>
  <c r="J11" i="12"/>
  <c r="M11" i="12"/>
  <c r="J12" i="12"/>
  <c r="M12" i="12"/>
  <c r="J6" i="12"/>
  <c r="M6" i="12"/>
  <c r="J7" i="12"/>
  <c r="M7" i="12"/>
  <c r="J8" i="12"/>
  <c r="M8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J29" i="12"/>
  <c r="M29" i="12"/>
  <c r="J30" i="12"/>
  <c r="M30" i="12"/>
  <c r="T7" i="12"/>
  <c r="J91" i="12"/>
  <c r="M91" i="12"/>
  <c r="J92" i="12"/>
  <c r="M92" i="12"/>
  <c r="J93" i="12"/>
  <c r="M93" i="12"/>
  <c r="J94" i="12"/>
  <c r="M94" i="12"/>
  <c r="J88" i="12"/>
  <c r="M88" i="12"/>
  <c r="J89" i="12"/>
  <c r="M89" i="12"/>
  <c r="J90" i="12"/>
  <c r="M90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F88" i="9"/>
  <c r="F101" i="9"/>
  <c r="B81" i="8"/>
  <c r="I81" i="8"/>
  <c r="H81" i="8"/>
  <c r="R27" i="8"/>
  <c r="E92" i="9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E88" i="9"/>
  <c r="E101" i="9"/>
  <c r="B81" i="7"/>
  <c r="I81" i="7"/>
  <c r="H81" i="7"/>
  <c r="R27" i="7"/>
  <c r="D92" i="9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01" i="9"/>
  <c r="B81" i="1"/>
  <c r="I81" i="1"/>
  <c r="H81" i="1"/>
  <c r="R27" i="1"/>
  <c r="C92" i="9"/>
  <c r="K9" i="1"/>
  <c r="K10" i="1"/>
  <c r="K11" i="1"/>
  <c r="K12" i="1"/>
  <c r="K6" i="1"/>
  <c r="K7" i="1"/>
  <c r="K8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R7" i="1"/>
  <c r="K91" i="1"/>
  <c r="K92" i="1"/>
  <c r="K93" i="1"/>
  <c r="K94" i="1"/>
  <c r="K88" i="1"/>
  <c r="K89" i="1"/>
  <c r="K90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C88" i="9"/>
  <c r="C101" i="9"/>
  <c r="B81" i="12"/>
  <c r="I81" i="12"/>
  <c r="H81" i="12"/>
  <c r="R27" i="12"/>
  <c r="B92" i="9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B88" i="9"/>
  <c r="B101" i="9"/>
  <c r="T26" i="8"/>
  <c r="I91" i="9"/>
  <c r="I100" i="9"/>
  <c r="T26" i="7"/>
  <c r="H91" i="9"/>
  <c r="H100" i="9"/>
  <c r="T26" i="1"/>
  <c r="G91" i="9"/>
  <c r="G100" i="9"/>
  <c r="T26" i="12"/>
  <c r="F91" i="9"/>
  <c r="F100" i="9"/>
  <c r="R26" i="8"/>
  <c r="E91" i="9"/>
  <c r="E100" i="9"/>
  <c r="R26" i="7"/>
  <c r="D91" i="9"/>
  <c r="D100" i="9"/>
  <c r="R26" i="1"/>
  <c r="C91" i="9"/>
  <c r="C100" i="9"/>
  <c r="R26" i="12"/>
  <c r="B91" i="9"/>
  <c r="B100" i="9"/>
  <c r="T25" i="8"/>
  <c r="I90" i="9"/>
  <c r="I99" i="9"/>
  <c r="T25" i="7"/>
  <c r="H90" i="9"/>
  <c r="H99" i="9"/>
  <c r="T25" i="1"/>
  <c r="G90" i="9"/>
  <c r="G99" i="9"/>
  <c r="T25" i="12"/>
  <c r="F90" i="9"/>
  <c r="F99" i="9"/>
  <c r="R25" i="8"/>
  <c r="E90" i="9"/>
  <c r="E99" i="9"/>
  <c r="R25" i="7"/>
  <c r="D90" i="9"/>
  <c r="D99" i="9"/>
  <c r="R25" i="1"/>
  <c r="C90" i="9"/>
  <c r="C99" i="9"/>
  <c r="R25" i="12"/>
  <c r="B90" i="9"/>
  <c r="B99" i="9"/>
  <c r="T24" i="8"/>
  <c r="I89" i="9"/>
  <c r="I98" i="9"/>
  <c r="T24" i="7"/>
  <c r="H89" i="9"/>
  <c r="H98" i="9"/>
  <c r="T24" i="1"/>
  <c r="G89" i="9"/>
  <c r="G98" i="9"/>
  <c r="T24" i="12"/>
  <c r="F89" i="9"/>
  <c r="F98" i="9"/>
  <c r="R24" i="8"/>
  <c r="E89" i="9"/>
  <c r="E98" i="9"/>
  <c r="R24" i="7"/>
  <c r="D89" i="9"/>
  <c r="D98" i="9"/>
  <c r="R24" i="1"/>
  <c r="C89" i="9"/>
  <c r="C98" i="9"/>
  <c r="R24" i="12"/>
  <c r="B89" i="9"/>
  <c r="B98" i="9"/>
  <c r="K11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1" i="1"/>
  <c r="L31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6" i="1"/>
  <c r="B32" i="1"/>
  <c r="K32" i="1"/>
  <c r="B111" i="1"/>
  <c r="L32" i="1"/>
  <c r="L34" i="1"/>
  <c r="L119" i="1"/>
  <c r="J35" i="1"/>
  <c r="T40" i="1"/>
  <c r="S2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0" i="1"/>
  <c r="R40" i="1"/>
  <c r="T39" i="1"/>
  <c r="S26" i="1"/>
  <c r="S39" i="1"/>
  <c r="R39" i="1"/>
  <c r="T38" i="1"/>
  <c r="S25" i="1"/>
  <c r="S38" i="1"/>
  <c r="R38" i="1"/>
  <c r="T37" i="1"/>
  <c r="S24" i="1"/>
  <c r="S37" i="1"/>
  <c r="R37" i="1"/>
  <c r="T40" i="12"/>
  <c r="S27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40" i="12"/>
  <c r="R40" i="12"/>
  <c r="T39" i="12"/>
  <c r="S26" i="12"/>
  <c r="S39" i="12"/>
  <c r="R39" i="12"/>
  <c r="T38" i="12"/>
  <c r="S25" i="12"/>
  <c r="S38" i="12"/>
  <c r="R38" i="12"/>
  <c r="T37" i="12"/>
  <c r="S24" i="12"/>
  <c r="S37" i="12"/>
  <c r="R37" i="12"/>
  <c r="AG79" i="1"/>
  <c r="AE79" i="1"/>
  <c r="AC79" i="1"/>
  <c r="AA79" i="1"/>
  <c r="F40" i="7"/>
  <c r="AH79" i="1"/>
  <c r="F9" i="7"/>
  <c r="F41" i="7"/>
  <c r="F43" i="7"/>
  <c r="F51" i="7"/>
  <c r="E51" i="7"/>
  <c r="F53" i="7"/>
  <c r="F55" i="7"/>
  <c r="F56" i="7"/>
  <c r="F57" i="7"/>
  <c r="E58" i="7"/>
  <c r="F39" i="7"/>
  <c r="E42" i="1"/>
  <c r="E42" i="7"/>
  <c r="E44" i="1"/>
  <c r="E44" i="7"/>
  <c r="E46" i="1"/>
  <c r="E46" i="7"/>
  <c r="E47" i="1"/>
  <c r="E47" i="7"/>
  <c r="E50" i="7"/>
  <c r="F52" i="7"/>
  <c r="F54" i="7"/>
  <c r="F59" i="7"/>
  <c r="H7" i="7"/>
  <c r="H8" i="7"/>
  <c r="H9" i="7"/>
  <c r="E10" i="7"/>
  <c r="H10" i="7"/>
  <c r="H11" i="7"/>
  <c r="E12" i="7"/>
  <c r="H12" i="7"/>
  <c r="E13" i="7"/>
  <c r="H13" i="7"/>
  <c r="E14" i="7"/>
  <c r="H14" i="7"/>
  <c r="H15" i="7"/>
  <c r="E16" i="7"/>
  <c r="H16" i="7"/>
  <c r="E17" i="7"/>
  <c r="H17" i="7"/>
  <c r="E18" i="7"/>
  <c r="H18" i="7"/>
  <c r="E19" i="7"/>
  <c r="H19" i="7"/>
  <c r="E20" i="7"/>
  <c r="H20" i="7"/>
  <c r="H21" i="7"/>
  <c r="H22" i="7"/>
  <c r="H23" i="7"/>
  <c r="H24" i="7"/>
  <c r="H25" i="7"/>
  <c r="H26" i="7"/>
  <c r="H27" i="7"/>
  <c r="H6" i="7"/>
  <c r="H31" i="7"/>
  <c r="F67" i="7"/>
  <c r="H28" i="7"/>
  <c r="H29" i="7"/>
  <c r="H30" i="7"/>
  <c r="F70" i="7"/>
  <c r="F68" i="7"/>
  <c r="F69" i="7"/>
  <c r="J111" i="7"/>
  <c r="J117" i="7"/>
  <c r="J68" i="7"/>
  <c r="B62" i="7"/>
  <c r="B73" i="7"/>
  <c r="K68" i="7"/>
  <c r="L117" i="7"/>
  <c r="B122" i="7"/>
  <c r="L68" i="7"/>
  <c r="M68" i="7"/>
  <c r="I118" i="7"/>
  <c r="I69" i="7"/>
  <c r="B34" i="7"/>
  <c r="J31" i="7"/>
  <c r="J32" i="7"/>
  <c r="J120" i="7"/>
  <c r="J118" i="7"/>
  <c r="J69" i="7"/>
  <c r="K69" i="7"/>
  <c r="L118" i="7"/>
  <c r="L69" i="7"/>
  <c r="M69" i="7"/>
  <c r="F9" i="12"/>
  <c r="H7" i="12"/>
  <c r="H8" i="12"/>
  <c r="H9" i="12"/>
  <c r="E10" i="12"/>
  <c r="H10" i="12"/>
  <c r="H11" i="12"/>
  <c r="E12" i="12"/>
  <c r="H12" i="12"/>
  <c r="E13" i="12"/>
  <c r="H13" i="12"/>
  <c r="E14" i="12"/>
  <c r="H14" i="12"/>
  <c r="H15" i="12"/>
  <c r="E16" i="12"/>
  <c r="H16" i="12"/>
  <c r="E17" i="12"/>
  <c r="H17" i="12"/>
  <c r="E18" i="12"/>
  <c r="H18" i="12"/>
  <c r="E19" i="12"/>
  <c r="H19" i="12"/>
  <c r="E20" i="12"/>
  <c r="H20" i="12"/>
  <c r="H21" i="12"/>
  <c r="H22" i="12"/>
  <c r="H23" i="12"/>
  <c r="H24" i="12"/>
  <c r="H25" i="12"/>
  <c r="H26" i="12"/>
  <c r="H27" i="12"/>
  <c r="H6" i="12"/>
  <c r="H31" i="12"/>
  <c r="F40" i="12"/>
  <c r="F41" i="12"/>
  <c r="F43" i="12"/>
  <c r="F51" i="12"/>
  <c r="E51" i="12"/>
  <c r="F53" i="12"/>
  <c r="F55" i="12"/>
  <c r="F56" i="12"/>
  <c r="F57" i="12"/>
  <c r="E58" i="12"/>
  <c r="F39" i="12"/>
  <c r="E42" i="12"/>
  <c r="E44" i="12"/>
  <c r="E46" i="12"/>
  <c r="E47" i="12"/>
  <c r="E50" i="12"/>
  <c r="F52" i="12"/>
  <c r="F54" i="12"/>
  <c r="F59" i="12"/>
  <c r="F67" i="12"/>
  <c r="H28" i="12"/>
  <c r="E29" i="12"/>
  <c r="H29" i="12"/>
  <c r="H30" i="12"/>
  <c r="F70" i="12"/>
  <c r="F68" i="12"/>
  <c r="F69" i="12"/>
  <c r="F9" i="8"/>
  <c r="H7" i="8"/>
  <c r="H8" i="8"/>
  <c r="H9" i="8"/>
  <c r="E10" i="8"/>
  <c r="H10" i="8"/>
  <c r="H11" i="8"/>
  <c r="E12" i="8"/>
  <c r="H12" i="8"/>
  <c r="E13" i="8"/>
  <c r="H13" i="8"/>
  <c r="E14" i="8"/>
  <c r="H14" i="8"/>
  <c r="H15" i="8"/>
  <c r="E16" i="8"/>
  <c r="H16" i="8"/>
  <c r="E17" i="8"/>
  <c r="H17" i="8"/>
  <c r="E18" i="8"/>
  <c r="H18" i="8"/>
  <c r="E19" i="8"/>
  <c r="H19" i="8"/>
  <c r="E20" i="8"/>
  <c r="H20" i="8"/>
  <c r="H21" i="8"/>
  <c r="H22" i="8"/>
  <c r="H23" i="8"/>
  <c r="H24" i="8"/>
  <c r="H25" i="8"/>
  <c r="H26" i="8"/>
  <c r="H27" i="8"/>
  <c r="H6" i="8"/>
  <c r="H31" i="8"/>
  <c r="F40" i="8"/>
  <c r="F41" i="8"/>
  <c r="F43" i="8"/>
  <c r="F51" i="8"/>
  <c r="E51" i="8"/>
  <c r="F53" i="8"/>
  <c r="F55" i="8"/>
  <c r="F56" i="8"/>
  <c r="F57" i="8"/>
  <c r="E58" i="8"/>
  <c r="F39" i="8"/>
  <c r="E42" i="8"/>
  <c r="E44" i="8"/>
  <c r="E46" i="8"/>
  <c r="E47" i="8"/>
  <c r="E50" i="8"/>
  <c r="F52" i="8"/>
  <c r="F54" i="8"/>
  <c r="F59" i="8"/>
  <c r="F67" i="8"/>
  <c r="H28" i="8"/>
  <c r="H29" i="8"/>
  <c r="H30" i="8"/>
  <c r="F70" i="8"/>
  <c r="F68" i="8"/>
  <c r="F69" i="8"/>
  <c r="J31" i="8"/>
  <c r="B34" i="8"/>
  <c r="J32" i="8"/>
  <c r="J111" i="8"/>
  <c r="I117" i="8"/>
  <c r="I118" i="8"/>
  <c r="I119" i="8"/>
  <c r="I122" i="8"/>
  <c r="J120" i="8"/>
  <c r="J123" i="8"/>
  <c r="J122" i="8"/>
  <c r="J116" i="8"/>
  <c r="J117" i="8"/>
  <c r="J118" i="8"/>
  <c r="J119" i="8"/>
  <c r="J121" i="8"/>
  <c r="J123" i="7"/>
  <c r="J122" i="7"/>
  <c r="I122" i="7"/>
  <c r="J116" i="7"/>
  <c r="J119" i="7"/>
  <c r="J121" i="7"/>
  <c r="I119" i="7"/>
  <c r="J111" i="12"/>
  <c r="J31" i="12"/>
  <c r="B34" i="12"/>
  <c r="J32" i="12"/>
  <c r="J120" i="12"/>
  <c r="J123" i="12"/>
  <c r="J122" i="12"/>
  <c r="I122" i="12"/>
  <c r="J116" i="12"/>
  <c r="J117" i="12"/>
  <c r="J118" i="12"/>
  <c r="J119" i="12"/>
  <c r="J121" i="12"/>
  <c r="I119" i="12"/>
  <c r="I118" i="12"/>
  <c r="I117" i="12"/>
  <c r="B34" i="1"/>
  <c r="J31" i="1"/>
  <c r="J32" i="1"/>
  <c r="J120" i="1"/>
  <c r="J111" i="1"/>
  <c r="J116" i="1"/>
  <c r="J118" i="1"/>
  <c r="J119" i="1"/>
  <c r="B62" i="1"/>
  <c r="B73" i="1"/>
  <c r="K68" i="1"/>
  <c r="L117" i="1"/>
  <c r="B122" i="1"/>
  <c r="L68" i="1"/>
  <c r="J117" i="1"/>
  <c r="J68" i="1"/>
  <c r="M68" i="1"/>
  <c r="K69" i="1"/>
  <c r="L118" i="1"/>
  <c r="L69" i="1"/>
  <c r="J69" i="1"/>
  <c r="M69" i="1"/>
  <c r="B62" i="12"/>
  <c r="B73" i="12"/>
  <c r="K68" i="12"/>
  <c r="L117" i="12"/>
  <c r="B122" i="12"/>
  <c r="L68" i="12"/>
  <c r="J68" i="12"/>
  <c r="M68" i="12"/>
  <c r="K69" i="12"/>
  <c r="L118" i="12"/>
  <c r="L69" i="12"/>
  <c r="J69" i="12"/>
  <c r="M69" i="12"/>
  <c r="I68" i="12"/>
  <c r="I69" i="12"/>
  <c r="E21" i="8"/>
  <c r="E22" i="8"/>
  <c r="E23" i="8"/>
  <c r="E24" i="8"/>
  <c r="E25" i="8"/>
  <c r="E26" i="8"/>
  <c r="E27" i="8"/>
  <c r="E28" i="8"/>
  <c r="E29" i="8"/>
  <c r="B62" i="8"/>
  <c r="B73" i="8"/>
  <c r="K68" i="8"/>
  <c r="L117" i="8"/>
  <c r="B122" i="8"/>
  <c r="L68" i="8"/>
  <c r="J68" i="8"/>
  <c r="M68" i="8"/>
  <c r="K69" i="8"/>
  <c r="L118" i="8"/>
  <c r="L69" i="8"/>
  <c r="J69" i="8"/>
  <c r="M69" i="8"/>
  <c r="I68" i="8"/>
  <c r="I69" i="8"/>
  <c r="I117" i="1"/>
  <c r="I68" i="1"/>
  <c r="I118" i="1"/>
  <c r="I69" i="1"/>
  <c r="I67" i="1"/>
  <c r="I122" i="1"/>
  <c r="I119" i="1"/>
  <c r="J123" i="1"/>
  <c r="J122" i="1"/>
  <c r="J121" i="1"/>
  <c r="J67" i="1"/>
  <c r="I70" i="1"/>
  <c r="J70" i="1"/>
  <c r="I71" i="1"/>
  <c r="J71" i="1"/>
  <c r="J72" i="1"/>
  <c r="I73" i="1"/>
  <c r="J73" i="1"/>
  <c r="I74" i="1"/>
  <c r="J74" i="1"/>
  <c r="H68" i="12"/>
  <c r="H69" i="12"/>
  <c r="H67" i="12"/>
  <c r="F95" i="9"/>
  <c r="H68" i="1"/>
  <c r="H69" i="1"/>
  <c r="H67" i="1"/>
  <c r="G95" i="9"/>
  <c r="H68" i="7"/>
  <c r="H69" i="7"/>
  <c r="H67" i="7"/>
  <c r="H95" i="9"/>
  <c r="H68" i="8"/>
  <c r="H69" i="8"/>
  <c r="H67" i="8"/>
  <c r="I95" i="9"/>
  <c r="H70" i="12"/>
  <c r="F96" i="9"/>
  <c r="H70" i="1"/>
  <c r="G96" i="9"/>
  <c r="H70" i="7"/>
  <c r="H96" i="9"/>
  <c r="H70" i="8"/>
  <c r="I96" i="9"/>
  <c r="A95" i="9"/>
  <c r="A96" i="9"/>
  <c r="A91" i="9"/>
  <c r="A92" i="9"/>
  <c r="S27" i="7"/>
  <c r="S26" i="7"/>
  <c r="S25" i="7"/>
  <c r="S24" i="7"/>
  <c r="S27" i="8"/>
  <c r="S26" i="8"/>
  <c r="S25" i="8"/>
  <c r="S24" i="8"/>
  <c r="K117" i="12"/>
  <c r="M117" i="12"/>
  <c r="K118" i="12"/>
  <c r="M118" i="12"/>
  <c r="K117" i="1"/>
  <c r="M117" i="1"/>
  <c r="K118" i="1"/>
  <c r="M118" i="1"/>
  <c r="K117" i="7"/>
  <c r="M117" i="7"/>
  <c r="K118" i="7"/>
  <c r="M118" i="7"/>
  <c r="K117" i="8"/>
  <c r="M117" i="8"/>
  <c r="K118" i="8"/>
  <c r="M118" i="8"/>
  <c r="E68" i="12"/>
  <c r="E69" i="12"/>
  <c r="E70" i="12"/>
  <c r="E68" i="7"/>
  <c r="E69" i="7"/>
  <c r="E70" i="7"/>
  <c r="E68" i="8"/>
  <c r="E69" i="8"/>
  <c r="E70" i="8"/>
  <c r="B33" i="12"/>
  <c r="E6" i="12"/>
  <c r="E7" i="12"/>
  <c r="E8" i="12"/>
  <c r="E9" i="12"/>
  <c r="E11" i="12"/>
  <c r="E15" i="12"/>
  <c r="E21" i="12"/>
  <c r="E22" i="12"/>
  <c r="E23" i="12"/>
  <c r="E24" i="12"/>
  <c r="E25" i="12"/>
  <c r="E26" i="12"/>
  <c r="E27" i="12"/>
  <c r="E28" i="12"/>
  <c r="E30" i="12"/>
  <c r="E31" i="12"/>
  <c r="E32" i="12"/>
  <c r="E39" i="12"/>
  <c r="E40" i="12"/>
  <c r="E41" i="12"/>
  <c r="F42" i="12"/>
  <c r="E43" i="1"/>
  <c r="E43" i="12"/>
  <c r="F44" i="12"/>
  <c r="E45" i="1"/>
  <c r="E45" i="12"/>
  <c r="F45" i="12"/>
  <c r="F46" i="12"/>
  <c r="F47" i="12"/>
  <c r="E48" i="12"/>
  <c r="F48" i="12"/>
  <c r="E49" i="12"/>
  <c r="F49" i="12"/>
  <c r="F50" i="12"/>
  <c r="E52" i="12"/>
  <c r="E53" i="12"/>
  <c r="E54" i="12"/>
  <c r="E55" i="12"/>
  <c r="E56" i="12"/>
  <c r="E57" i="12"/>
  <c r="F58" i="12"/>
  <c r="E59" i="12"/>
  <c r="E60" i="12"/>
  <c r="F60" i="12"/>
  <c r="E61" i="12"/>
  <c r="F61" i="12"/>
  <c r="E67" i="12"/>
  <c r="J33" i="12"/>
  <c r="B33" i="1"/>
  <c r="J33" i="1"/>
  <c r="B33" i="7"/>
  <c r="E6" i="7"/>
  <c r="E7" i="7"/>
  <c r="E8" i="7"/>
  <c r="E9" i="7"/>
  <c r="E11" i="7"/>
  <c r="E15" i="7"/>
  <c r="E21" i="7"/>
  <c r="E22" i="7"/>
  <c r="E23" i="7"/>
  <c r="E24" i="7"/>
  <c r="E25" i="7"/>
  <c r="E26" i="7"/>
  <c r="E27" i="7"/>
  <c r="E28" i="7"/>
  <c r="E29" i="7"/>
  <c r="E30" i="7"/>
  <c r="E31" i="7"/>
  <c r="E32" i="7"/>
  <c r="E39" i="7"/>
  <c r="E40" i="7"/>
  <c r="E41" i="7"/>
  <c r="F42" i="7"/>
  <c r="E43" i="7"/>
  <c r="F44" i="7"/>
  <c r="E45" i="7"/>
  <c r="F45" i="7"/>
  <c r="F46" i="7"/>
  <c r="F47" i="7"/>
  <c r="E48" i="7"/>
  <c r="F48" i="7"/>
  <c r="E49" i="7"/>
  <c r="F49" i="7"/>
  <c r="F50" i="7"/>
  <c r="E52" i="7"/>
  <c r="E53" i="7"/>
  <c r="E54" i="7"/>
  <c r="E55" i="7"/>
  <c r="E56" i="7"/>
  <c r="E57" i="7"/>
  <c r="F58" i="7"/>
  <c r="E59" i="7"/>
  <c r="E60" i="7"/>
  <c r="F60" i="7"/>
  <c r="E61" i="7"/>
  <c r="F61" i="7"/>
  <c r="E67" i="7"/>
  <c r="J33" i="7"/>
  <c r="B33" i="8"/>
  <c r="E6" i="8"/>
  <c r="E7" i="8"/>
  <c r="E8" i="8"/>
  <c r="E9" i="8"/>
  <c r="E11" i="8"/>
  <c r="E15" i="8"/>
  <c r="E30" i="8"/>
  <c r="E31" i="8"/>
  <c r="E32" i="8"/>
  <c r="E39" i="8"/>
  <c r="E40" i="8"/>
  <c r="E41" i="8"/>
  <c r="F42" i="8"/>
  <c r="E43" i="8"/>
  <c r="F44" i="8"/>
  <c r="E45" i="8"/>
  <c r="F45" i="8"/>
  <c r="F46" i="8"/>
  <c r="F47" i="8"/>
  <c r="E48" i="8"/>
  <c r="F48" i="8"/>
  <c r="E49" i="8"/>
  <c r="F49" i="8"/>
  <c r="F50" i="8"/>
  <c r="E52" i="8"/>
  <c r="E53" i="8"/>
  <c r="E54" i="8"/>
  <c r="E55" i="8"/>
  <c r="E56" i="8"/>
  <c r="E57" i="8"/>
  <c r="F58" i="8"/>
  <c r="E59" i="8"/>
  <c r="E60" i="8"/>
  <c r="F60" i="8"/>
  <c r="E61" i="8"/>
  <c r="F61" i="8"/>
  <c r="E67" i="8"/>
  <c r="J33" i="8"/>
  <c r="E2" i="13"/>
  <c r="D2" i="13"/>
  <c r="C2" i="13"/>
  <c r="B2" i="13"/>
  <c r="B84" i="8"/>
  <c r="B84" i="7"/>
  <c r="B84" i="1"/>
  <c r="B84" i="12"/>
  <c r="A1" i="1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Y20" i="1"/>
  <c r="AA20" i="1"/>
  <c r="AC20" i="1"/>
  <c r="AE20" i="1"/>
  <c r="AF20" i="1"/>
  <c r="AG20" i="1"/>
  <c r="AH20" i="1"/>
  <c r="AI20" i="1"/>
  <c r="AJ20" i="1"/>
  <c r="AK20" i="1"/>
  <c r="Y21" i="1"/>
  <c r="AA21" i="1"/>
  <c r="AC21" i="1"/>
  <c r="AE21" i="1"/>
  <c r="AF21" i="1"/>
  <c r="AG21" i="1"/>
  <c r="AH21" i="1"/>
  <c r="AI21" i="1"/>
  <c r="AJ21" i="1"/>
  <c r="AK21" i="1"/>
  <c r="Y22" i="1"/>
  <c r="AA22" i="1"/>
  <c r="AC22" i="1"/>
  <c r="AE22" i="1"/>
  <c r="AF22" i="1"/>
  <c r="AG22" i="1"/>
  <c r="AH22" i="1"/>
  <c r="AI22" i="1"/>
  <c r="AJ22" i="1"/>
  <c r="AK22" i="1"/>
  <c r="Y23" i="1"/>
  <c r="AA23" i="1"/>
  <c r="AC23" i="1"/>
  <c r="AE23" i="1"/>
  <c r="AF23" i="1"/>
  <c r="AG23" i="1"/>
  <c r="AH23" i="1"/>
  <c r="AI23" i="1"/>
  <c r="AJ23" i="1"/>
  <c r="AK23" i="1"/>
  <c r="Y24" i="1"/>
  <c r="AA24" i="1"/>
  <c r="AC24" i="1"/>
  <c r="AE24" i="1"/>
  <c r="AF24" i="1"/>
  <c r="AG24" i="1"/>
  <c r="AH24" i="1"/>
  <c r="AI24" i="1"/>
  <c r="AJ24" i="1"/>
  <c r="AK24" i="1"/>
  <c r="Y25" i="1"/>
  <c r="AA25" i="1"/>
  <c r="AC25" i="1"/>
  <c r="AE25" i="1"/>
  <c r="AF25" i="1"/>
  <c r="AG25" i="1"/>
  <c r="AH25" i="1"/>
  <c r="AI25" i="1"/>
  <c r="AJ25" i="1"/>
  <c r="AK25" i="1"/>
  <c r="Y26" i="1"/>
  <c r="AA26" i="1"/>
  <c r="AC26" i="1"/>
  <c r="AE26" i="1"/>
  <c r="AF26" i="1"/>
  <c r="AG26" i="1"/>
  <c r="AH26" i="1"/>
  <c r="AI26" i="1"/>
  <c r="AJ26" i="1"/>
  <c r="AK26" i="1"/>
  <c r="Y27" i="1"/>
  <c r="AA27" i="1"/>
  <c r="AC27" i="1"/>
  <c r="AE27" i="1"/>
  <c r="AF27" i="1"/>
  <c r="AG27" i="1"/>
  <c r="AH27" i="1"/>
  <c r="AI27" i="1"/>
  <c r="AJ27" i="1"/>
  <c r="AK27" i="1"/>
  <c r="Y28" i="1"/>
  <c r="AA28" i="1"/>
  <c r="AC28" i="1"/>
  <c r="AE28" i="1"/>
  <c r="AF28" i="1"/>
  <c r="AG28" i="1"/>
  <c r="AH28" i="1"/>
  <c r="AI28" i="1"/>
  <c r="AJ28" i="1"/>
  <c r="AK28" i="1"/>
  <c r="Y29" i="1"/>
  <c r="AA29" i="1"/>
  <c r="AC29" i="1"/>
  <c r="AE29" i="1"/>
  <c r="AF29" i="1"/>
  <c r="AG29" i="1"/>
  <c r="AH29" i="1"/>
  <c r="AI29" i="1"/>
  <c r="AJ29" i="1"/>
  <c r="AK29" i="1"/>
  <c r="X11" i="7"/>
  <c r="X12" i="7"/>
  <c r="X13" i="7"/>
  <c r="X14" i="7"/>
  <c r="X15" i="7"/>
  <c r="X16" i="7"/>
  <c r="X17" i="7"/>
  <c r="X8" i="7"/>
  <c r="X17" i="8"/>
  <c r="X11" i="8"/>
  <c r="X12" i="8"/>
  <c r="X13" i="8"/>
  <c r="X14" i="8"/>
  <c r="X15" i="8"/>
  <c r="X16" i="8"/>
  <c r="X7" i="8"/>
  <c r="X8" i="8"/>
  <c r="X9" i="8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7" i="1"/>
  <c r="A7" i="8"/>
  <c r="A8" i="1"/>
  <c r="A8" i="8"/>
  <c r="A9" i="1"/>
  <c r="A9" i="8"/>
  <c r="A10" i="1"/>
  <c r="A10" i="8"/>
  <c r="A11" i="1"/>
  <c r="A11" i="8"/>
  <c r="A12" i="1"/>
  <c r="A12" i="8"/>
  <c r="A13" i="1"/>
  <c r="A13" i="8"/>
  <c r="A14" i="1"/>
  <c r="A14" i="8"/>
  <c r="A15" i="1"/>
  <c r="A15" i="8"/>
  <c r="A16" i="1"/>
  <c r="A16" i="8"/>
  <c r="A17" i="1"/>
  <c r="A17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A26" i="1"/>
  <c r="A26" i="8"/>
  <c r="A27" i="1"/>
  <c r="A27" i="8"/>
  <c r="A28" i="1"/>
  <c r="A28" i="8"/>
  <c r="A29" i="1"/>
  <c r="A29" i="8"/>
  <c r="B76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B76" i="7"/>
  <c r="B76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9" i="1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"/>
  <c r="A30" i="12"/>
  <c r="A31" i="1"/>
  <c r="A31" i="12"/>
  <c r="A32" i="1"/>
  <c r="A32" i="12"/>
  <c r="A6" i="1"/>
  <c r="B76" i="12"/>
  <c r="B22" i="13"/>
  <c r="C22" i="13"/>
  <c r="D22" i="13"/>
  <c r="E22" i="13"/>
  <c r="E23" i="13"/>
  <c r="F107" i="13"/>
  <c r="F119" i="13"/>
  <c r="C16" i="13"/>
  <c r="B16" i="13"/>
  <c r="AE16" i="13"/>
  <c r="D23" i="13"/>
  <c r="E24" i="13"/>
  <c r="C23" i="13"/>
  <c r="D24" i="13"/>
  <c r="B23" i="13"/>
  <c r="C24" i="13"/>
  <c r="B24" i="13"/>
  <c r="R19" i="13"/>
  <c r="S19" i="13"/>
  <c r="B107" i="13"/>
  <c r="B109" i="13"/>
  <c r="F117" i="13"/>
  <c r="D81" i="9"/>
  <c r="D33" i="13"/>
  <c r="C81" i="9"/>
  <c r="C33" i="13"/>
  <c r="BU50" i="13"/>
  <c r="D116" i="13"/>
  <c r="F116" i="13"/>
  <c r="E73" i="9"/>
  <c r="E26" i="13"/>
  <c r="D73" i="9"/>
  <c r="D26" i="13"/>
  <c r="CR43" i="13"/>
  <c r="E109" i="13"/>
  <c r="E74" i="9"/>
  <c r="E27" i="13"/>
  <c r="D74" i="9"/>
  <c r="D27" i="13"/>
  <c r="CR44" i="13"/>
  <c r="E110" i="13"/>
  <c r="E75" i="9"/>
  <c r="E28" i="13"/>
  <c r="D75" i="9"/>
  <c r="D28" i="13"/>
  <c r="CR45" i="13"/>
  <c r="E111" i="13"/>
  <c r="E76" i="9"/>
  <c r="E29" i="13"/>
  <c r="D76" i="9"/>
  <c r="D29" i="13"/>
  <c r="CR46" i="13"/>
  <c r="E112" i="13"/>
  <c r="E77" i="9"/>
  <c r="E30" i="13"/>
  <c r="D77" i="9"/>
  <c r="D30" i="13"/>
  <c r="CR47" i="13"/>
  <c r="E113" i="13"/>
  <c r="E78" i="9"/>
  <c r="E31" i="13"/>
  <c r="D78" i="9"/>
  <c r="D31" i="13"/>
  <c r="CR48" i="13"/>
  <c r="E114" i="13"/>
  <c r="E79" i="9"/>
  <c r="E32" i="13"/>
  <c r="D79" i="9"/>
  <c r="D32" i="13"/>
  <c r="CR49" i="13"/>
  <c r="E115" i="13"/>
  <c r="E81" i="9"/>
  <c r="E33" i="13"/>
  <c r="CR50" i="13"/>
  <c r="E116" i="13"/>
  <c r="E82" i="9"/>
  <c r="E34" i="13"/>
  <c r="D82" i="9"/>
  <c r="D34" i="13"/>
  <c r="CR51" i="13"/>
  <c r="E117" i="13"/>
  <c r="E83" i="9"/>
  <c r="E35" i="13"/>
  <c r="D83" i="9"/>
  <c r="D35" i="13"/>
  <c r="CR52" i="13"/>
  <c r="E118" i="13"/>
  <c r="E85" i="9"/>
  <c r="E36" i="13"/>
  <c r="D85" i="9"/>
  <c r="D36" i="13"/>
  <c r="CR53" i="13"/>
  <c r="E119" i="13"/>
  <c r="E86" i="9"/>
  <c r="E37" i="13"/>
  <c r="D86" i="9"/>
  <c r="D37" i="13"/>
  <c r="CR54" i="13"/>
  <c r="E120" i="13"/>
  <c r="E72" i="9"/>
  <c r="E25" i="13"/>
  <c r="D72" i="9"/>
  <c r="D25" i="13"/>
  <c r="CR42" i="13"/>
  <c r="E108" i="13"/>
  <c r="C73" i="9"/>
  <c r="C26" i="13"/>
  <c r="BU43" i="13"/>
  <c r="D109" i="13"/>
  <c r="C74" i="9"/>
  <c r="C27" i="13"/>
  <c r="BU44" i="13"/>
  <c r="D110" i="13"/>
  <c r="C75" i="9"/>
  <c r="C28" i="13"/>
  <c r="BU45" i="13"/>
  <c r="D111" i="13"/>
  <c r="C76" i="9"/>
  <c r="C29" i="13"/>
  <c r="BU46" i="13"/>
  <c r="D112" i="13"/>
  <c r="C77" i="9"/>
  <c r="C30" i="13"/>
  <c r="BU47" i="13"/>
  <c r="D113" i="13"/>
  <c r="C78" i="9"/>
  <c r="C31" i="13"/>
  <c r="BU48" i="13"/>
  <c r="D114" i="13"/>
  <c r="C79" i="9"/>
  <c r="C32" i="13"/>
  <c r="BU49" i="13"/>
  <c r="D115" i="13"/>
  <c r="C82" i="9"/>
  <c r="C34" i="13"/>
  <c r="BU51" i="13"/>
  <c r="D117" i="13"/>
  <c r="C83" i="9"/>
  <c r="C35" i="13"/>
  <c r="BU52" i="13"/>
  <c r="D118" i="13"/>
  <c r="C85" i="9"/>
  <c r="C36" i="13"/>
  <c r="BU53" i="13"/>
  <c r="D119" i="13"/>
  <c r="C86" i="9"/>
  <c r="C37" i="13"/>
  <c r="BU54" i="13"/>
  <c r="D120" i="13"/>
  <c r="C72" i="9"/>
  <c r="C25" i="13"/>
  <c r="BU42" i="13"/>
  <c r="D108" i="13"/>
  <c r="B74" i="9"/>
  <c r="B27" i="13"/>
  <c r="AD44" i="13"/>
  <c r="C110" i="13"/>
  <c r="B75" i="9"/>
  <c r="B28" i="13"/>
  <c r="AD45" i="13"/>
  <c r="C111" i="13"/>
  <c r="B76" i="9"/>
  <c r="B29" i="13"/>
  <c r="AD46" i="13"/>
  <c r="C112" i="13"/>
  <c r="B77" i="9"/>
  <c r="B30" i="13"/>
  <c r="AD47" i="13"/>
  <c r="C113" i="13"/>
  <c r="B78" i="9"/>
  <c r="B31" i="13"/>
  <c r="AD48" i="13"/>
  <c r="C114" i="13"/>
  <c r="B79" i="9"/>
  <c r="B32" i="13"/>
  <c r="AD49" i="13"/>
  <c r="C115" i="13"/>
  <c r="B81" i="9"/>
  <c r="B33" i="13"/>
  <c r="AD50" i="13"/>
  <c r="C116" i="13"/>
  <c r="B82" i="9"/>
  <c r="B34" i="13"/>
  <c r="AD51" i="13"/>
  <c r="C117" i="13"/>
  <c r="B83" i="9"/>
  <c r="B35" i="13"/>
  <c r="AD52" i="13"/>
  <c r="C118" i="13"/>
  <c r="B85" i="9"/>
  <c r="B36" i="13"/>
  <c r="AD53" i="13"/>
  <c r="C119" i="13"/>
  <c r="B86" i="9"/>
  <c r="B37" i="13"/>
  <c r="AD54" i="13"/>
  <c r="C120" i="13"/>
  <c r="B73" i="9"/>
  <c r="B26" i="13"/>
  <c r="AD43" i="13"/>
  <c r="C109" i="13"/>
  <c r="B72" i="9"/>
  <c r="B25" i="13"/>
  <c r="AD42" i="13"/>
  <c r="C108" i="13"/>
  <c r="F115" i="13"/>
  <c r="BI48" i="13"/>
  <c r="F110" i="13"/>
  <c r="F109" i="13"/>
  <c r="DA43" i="13"/>
  <c r="DA60" i="13"/>
  <c r="F108" i="13"/>
  <c r="S25" i="13"/>
  <c r="F25" i="13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7" i="8"/>
  <c r="C34" i="7"/>
  <c r="B120" i="12"/>
  <c r="D41" i="1"/>
  <c r="H41" i="1"/>
  <c r="I41" i="1"/>
  <c r="D42" i="1"/>
  <c r="H42" i="1"/>
  <c r="I42" i="1"/>
  <c r="D46" i="1"/>
  <c r="H46" i="1"/>
  <c r="I46" i="1"/>
  <c r="D47" i="1"/>
  <c r="H47" i="1"/>
  <c r="I47" i="1"/>
  <c r="D48" i="1"/>
  <c r="H48" i="1"/>
  <c r="I48" i="1"/>
  <c r="D49" i="1"/>
  <c r="H49" i="1"/>
  <c r="I49" i="1"/>
  <c r="D51" i="1"/>
  <c r="H51" i="1"/>
  <c r="I51" i="1"/>
  <c r="D60" i="1"/>
  <c r="H60" i="1"/>
  <c r="I60" i="1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AA7" i="12"/>
  <c r="AA8" i="12"/>
  <c r="X9" i="12"/>
  <c r="AA9" i="12"/>
  <c r="Z6" i="12"/>
  <c r="AA6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29" i="12"/>
  <c r="AA29" i="12"/>
  <c r="Z30" i="12"/>
  <c r="AA30" i="12"/>
  <c r="M31" i="12"/>
  <c r="Z31" i="12"/>
  <c r="AA31" i="12"/>
  <c r="Y10" i="12"/>
  <c r="X10" i="12"/>
  <c r="X11" i="12"/>
  <c r="AA10" i="12"/>
  <c r="Y11" i="12"/>
  <c r="AA11" i="12"/>
  <c r="AB6" i="12"/>
  <c r="AC6" i="12"/>
  <c r="AB12" i="12"/>
  <c r="AC12" i="12"/>
  <c r="AB13" i="12"/>
  <c r="AC13" i="12"/>
  <c r="AB14" i="12"/>
  <c r="AC14" i="12"/>
  <c r="AB15" i="12"/>
  <c r="AC15" i="12"/>
  <c r="AB16" i="12"/>
  <c r="AC16" i="12"/>
  <c r="AB17" i="12"/>
  <c r="AC17" i="12"/>
  <c r="AB18" i="12"/>
  <c r="AC18" i="12"/>
  <c r="AB29" i="12"/>
  <c r="AC29" i="12"/>
  <c r="AB30" i="12"/>
  <c r="AC30" i="12"/>
  <c r="AB31" i="12"/>
  <c r="AC31" i="12"/>
  <c r="Y7" i="12"/>
  <c r="Y8" i="12"/>
  <c r="Y9" i="12"/>
  <c r="AC7" i="12"/>
  <c r="AA7" i="1"/>
  <c r="AA8" i="1"/>
  <c r="AA9" i="1"/>
  <c r="AA6" i="1"/>
  <c r="AA12" i="1"/>
  <c r="AA13" i="1"/>
  <c r="AA14" i="1"/>
  <c r="AA15" i="1"/>
  <c r="AA16" i="1"/>
  <c r="AA17" i="1"/>
  <c r="AA18" i="1"/>
  <c r="AA19" i="1"/>
  <c r="AA30" i="1"/>
  <c r="M31" i="1"/>
  <c r="AA31" i="1"/>
  <c r="Y10" i="1"/>
  <c r="AA10" i="1"/>
  <c r="Y11" i="1"/>
  <c r="AA11" i="1"/>
  <c r="AC6" i="1"/>
  <c r="AC12" i="1"/>
  <c r="AC13" i="1"/>
  <c r="AC14" i="1"/>
  <c r="AC15" i="1"/>
  <c r="AC16" i="1"/>
  <c r="AC17" i="1"/>
  <c r="AC18" i="1"/>
  <c r="AC19" i="1"/>
  <c r="AC30" i="1"/>
  <c r="AC31" i="1"/>
  <c r="Y7" i="1"/>
  <c r="Y8" i="1"/>
  <c r="Y9" i="1"/>
  <c r="AC7" i="1"/>
  <c r="AA7" i="7"/>
  <c r="AA8" i="7"/>
  <c r="X9" i="7"/>
  <c r="AA9" i="7"/>
  <c r="Z6" i="7"/>
  <c r="AA6" i="7"/>
  <c r="Z12" i="7"/>
  <c r="AA12" i="7"/>
  <c r="Z13" i="7"/>
  <c r="AA13" i="7"/>
  <c r="Z14" i="7"/>
  <c r="AA14" i="7"/>
  <c r="Z15" i="7"/>
  <c r="AA15" i="7"/>
  <c r="Z16" i="7"/>
  <c r="AA16" i="7"/>
  <c r="Z17" i="7"/>
  <c r="AA17" i="7"/>
  <c r="Z18" i="7"/>
  <c r="AA18" i="7"/>
  <c r="Z19" i="7"/>
  <c r="AA19" i="7"/>
  <c r="Z30" i="7"/>
  <c r="AA30" i="7"/>
  <c r="M31" i="7"/>
  <c r="Z31" i="7"/>
  <c r="AA31" i="7"/>
  <c r="Y10" i="7"/>
  <c r="X10" i="7"/>
  <c r="AA10" i="7"/>
  <c r="Y11" i="7"/>
  <c r="AA11" i="7"/>
  <c r="AB6" i="7"/>
  <c r="AC6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30" i="7"/>
  <c r="AC30" i="7"/>
  <c r="AB31" i="7"/>
  <c r="AC31" i="7"/>
  <c r="Y7" i="7"/>
  <c r="Y8" i="7"/>
  <c r="Y9" i="7"/>
  <c r="AC7" i="7"/>
  <c r="AA7" i="8"/>
  <c r="AA8" i="8"/>
  <c r="AA9" i="8"/>
  <c r="Z6" i="8"/>
  <c r="AA6" i="8"/>
  <c r="Z12" i="8"/>
  <c r="AA12" i="8"/>
  <c r="Z13" i="8"/>
  <c r="AA13" i="8"/>
  <c r="Z14" i="8"/>
  <c r="AA14" i="8"/>
  <c r="Z15" i="8"/>
  <c r="AA15" i="8"/>
  <c r="Z16" i="8"/>
  <c r="AA16" i="8"/>
  <c r="Z17" i="8"/>
  <c r="AA17" i="8"/>
  <c r="Z18" i="8"/>
  <c r="AA18" i="8"/>
  <c r="Z19" i="8"/>
  <c r="AA19" i="8"/>
  <c r="Z30" i="8"/>
  <c r="AA30" i="8"/>
  <c r="M31" i="8"/>
  <c r="Z31" i="8"/>
  <c r="AA31" i="8"/>
  <c r="Y10" i="8"/>
  <c r="X10" i="8"/>
  <c r="AA10" i="8"/>
  <c r="Y11" i="8"/>
  <c r="AA11" i="8"/>
  <c r="AB6" i="8"/>
  <c r="AC6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30" i="8"/>
  <c r="AC30" i="8"/>
  <c r="AB31" i="8"/>
  <c r="AC31" i="8"/>
  <c r="Y7" i="8"/>
  <c r="Y8" i="8"/>
  <c r="Y9" i="8"/>
  <c r="AC7" i="8"/>
  <c r="X43" i="8"/>
  <c r="X42" i="8"/>
  <c r="X41" i="8"/>
  <c r="X43" i="7"/>
  <c r="X42" i="7"/>
  <c r="X41" i="7"/>
  <c r="X43" i="12"/>
  <c r="X42" i="12"/>
  <c r="AG79" i="8"/>
  <c r="AE79" i="8"/>
  <c r="AC79" i="8"/>
  <c r="AA79" i="8"/>
  <c r="AD70" i="8"/>
  <c r="AB70" i="8"/>
  <c r="Z70" i="8"/>
  <c r="AF67" i="1"/>
  <c r="AF67" i="8"/>
  <c r="AD67" i="8"/>
  <c r="AB67" i="8"/>
  <c r="Z67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7" i="8"/>
  <c r="AB57" i="8"/>
  <c r="Z57" i="8"/>
  <c r="AD56" i="8"/>
  <c r="AB56" i="8"/>
  <c r="Z56" i="8"/>
  <c r="AD55" i="8"/>
  <c r="AB55" i="8"/>
  <c r="Z55" i="8"/>
  <c r="AD54" i="8"/>
  <c r="AB54" i="8"/>
  <c r="Z54" i="8"/>
  <c r="AD53" i="8"/>
  <c r="AB53" i="8"/>
  <c r="Z53" i="8"/>
  <c r="AD52" i="8"/>
  <c r="AB52" i="8"/>
  <c r="Z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31" i="8"/>
  <c r="AD30" i="8"/>
  <c r="AD19" i="8"/>
  <c r="AD18" i="8"/>
  <c r="AD17" i="8"/>
  <c r="AD16" i="8"/>
  <c r="AD15" i="8"/>
  <c r="AD14" i="8"/>
  <c r="AD13" i="8"/>
  <c r="AD12" i="8"/>
  <c r="AC8" i="8"/>
  <c r="AC9" i="8"/>
  <c r="AC10" i="8"/>
  <c r="AC11" i="8"/>
  <c r="AD6" i="8"/>
  <c r="AE6" i="8"/>
  <c r="AE12" i="8"/>
  <c r="AE13" i="8"/>
  <c r="AE14" i="8"/>
  <c r="AE15" i="8"/>
  <c r="AE16" i="8"/>
  <c r="AE17" i="8"/>
  <c r="AE18" i="8"/>
  <c r="AE19" i="8"/>
  <c r="AE30" i="8"/>
  <c r="AE31" i="8"/>
  <c r="AE7" i="8"/>
  <c r="AF1" i="8"/>
  <c r="AD1" i="8"/>
  <c r="AK1" i="8"/>
  <c r="AB1" i="8"/>
  <c r="Z1" i="8"/>
  <c r="AJ1" i="8"/>
  <c r="AG79" i="7"/>
  <c r="AE79" i="7"/>
  <c r="AC79" i="7"/>
  <c r="AA79" i="7"/>
  <c r="AH79" i="7"/>
  <c r="AD70" i="7"/>
  <c r="AB70" i="7"/>
  <c r="Z70" i="7"/>
  <c r="AF67" i="7"/>
  <c r="AD67" i="7"/>
  <c r="AB67" i="7"/>
  <c r="Z67" i="7"/>
  <c r="AD61" i="7"/>
  <c r="AB61" i="7"/>
  <c r="Z61" i="7"/>
  <c r="AD60" i="7"/>
  <c r="AB60" i="7"/>
  <c r="Z60" i="7"/>
  <c r="AD59" i="7"/>
  <c r="AB59" i="7"/>
  <c r="Z59" i="7"/>
  <c r="AD58" i="7"/>
  <c r="AB58" i="7"/>
  <c r="Z58" i="7"/>
  <c r="AD57" i="7"/>
  <c r="AB57" i="7"/>
  <c r="Z57" i="7"/>
  <c r="AD56" i="7"/>
  <c r="AB56" i="7"/>
  <c r="Z56" i="7"/>
  <c r="AD55" i="7"/>
  <c r="AB55" i="7"/>
  <c r="Z55" i="7"/>
  <c r="AD54" i="7"/>
  <c r="AB54" i="7"/>
  <c r="Z54" i="7"/>
  <c r="AD53" i="7"/>
  <c r="AB53" i="7"/>
  <c r="Z53" i="7"/>
  <c r="AD52" i="7"/>
  <c r="AB52" i="7"/>
  <c r="Z52" i="7"/>
  <c r="AD51" i="7"/>
  <c r="AB51" i="7"/>
  <c r="Z51" i="7"/>
  <c r="AD50" i="7"/>
  <c r="AB50" i="7"/>
  <c r="Z50" i="7"/>
  <c r="AD49" i="7"/>
  <c r="AB49" i="7"/>
  <c r="Z49" i="7"/>
  <c r="AD48" i="7"/>
  <c r="AB48" i="7"/>
  <c r="Z48" i="7"/>
  <c r="AD47" i="7"/>
  <c r="AB47" i="7"/>
  <c r="Z47" i="7"/>
  <c r="AD46" i="7"/>
  <c r="AB46" i="7"/>
  <c r="Z46" i="7"/>
  <c r="AD45" i="7"/>
  <c r="AB45" i="7"/>
  <c r="Z45" i="7"/>
  <c r="AD44" i="7"/>
  <c r="AB44" i="7"/>
  <c r="Z44" i="7"/>
  <c r="AD31" i="7"/>
  <c r="AD30" i="7"/>
  <c r="AD19" i="7"/>
  <c r="AD18" i="7"/>
  <c r="AD17" i="7"/>
  <c r="AD16" i="7"/>
  <c r="AD15" i="7"/>
  <c r="AD14" i="7"/>
  <c r="AD13" i="7"/>
  <c r="AD12" i="7"/>
  <c r="AC8" i="7"/>
  <c r="AC9" i="7"/>
  <c r="AC10" i="7"/>
  <c r="AC11" i="7"/>
  <c r="AD6" i="7"/>
  <c r="AE6" i="7"/>
  <c r="AE12" i="7"/>
  <c r="AE13" i="7"/>
  <c r="AE14" i="7"/>
  <c r="AE15" i="7"/>
  <c r="AE16" i="7"/>
  <c r="AE17" i="7"/>
  <c r="AE18" i="7"/>
  <c r="AE19" i="7"/>
  <c r="AE30" i="7"/>
  <c r="AE31" i="7"/>
  <c r="AE7" i="7"/>
  <c r="AF1" i="7"/>
  <c r="AD1" i="7"/>
  <c r="AB1" i="7"/>
  <c r="Z1" i="7"/>
  <c r="AJ1" i="7"/>
  <c r="AF1" i="12"/>
  <c r="AD1" i="12"/>
  <c r="AB1" i="12"/>
  <c r="Z1" i="12"/>
  <c r="AD31" i="12"/>
  <c r="AD30" i="12"/>
  <c r="AD29" i="12"/>
  <c r="AD18" i="12"/>
  <c r="AD17" i="12"/>
  <c r="AD16" i="12"/>
  <c r="AD15" i="12"/>
  <c r="AD14" i="12"/>
  <c r="AD13" i="12"/>
  <c r="AD12" i="12"/>
  <c r="AD6" i="12"/>
  <c r="AF6" i="12"/>
  <c r="AH6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B61" i="12"/>
  <c r="AB60" i="12"/>
  <c r="Z60" i="12"/>
  <c r="AF60" i="12"/>
  <c r="AB59" i="12"/>
  <c r="AB58" i="12"/>
  <c r="Z58" i="12"/>
  <c r="AF58" i="12"/>
  <c r="AB57" i="12"/>
  <c r="AB56" i="12"/>
  <c r="Z56" i="12"/>
  <c r="AF56" i="12"/>
  <c r="AB55" i="12"/>
  <c r="AB54" i="12"/>
  <c r="Z54" i="12"/>
  <c r="AF54" i="12"/>
  <c r="AB53" i="12"/>
  <c r="AB52" i="12"/>
  <c r="Z52" i="12"/>
  <c r="AF52" i="12"/>
  <c r="AB51" i="12"/>
  <c r="AB50" i="12"/>
  <c r="Z50" i="12"/>
  <c r="AF50" i="12"/>
  <c r="AB49" i="12"/>
  <c r="AB48" i="12"/>
  <c r="Z48" i="12"/>
  <c r="AF48" i="12"/>
  <c r="AB47" i="12"/>
  <c r="AB46" i="12"/>
  <c r="Z46" i="12"/>
  <c r="AF46" i="12"/>
  <c r="AB45" i="12"/>
  <c r="AB44" i="12"/>
  <c r="Z44" i="12"/>
  <c r="AF44" i="12"/>
  <c r="Z45" i="12"/>
  <c r="Z47" i="12"/>
  <c r="Z49" i="12"/>
  <c r="Z51" i="12"/>
  <c r="Z53" i="12"/>
  <c r="Z55" i="12"/>
  <c r="Z57" i="12"/>
  <c r="Z59" i="12"/>
  <c r="Z61" i="12"/>
  <c r="AF67" i="12"/>
  <c r="AD70" i="12"/>
  <c r="AD67" i="12"/>
  <c r="AB70" i="12"/>
  <c r="AB67" i="12"/>
  <c r="Z67" i="12"/>
  <c r="Z70" i="12"/>
  <c r="AG79" i="12"/>
  <c r="AE79" i="12"/>
  <c r="AC79" i="12"/>
  <c r="AA79" i="12"/>
  <c r="AH79" i="12"/>
  <c r="AH67" i="12"/>
  <c r="AF61" i="12"/>
  <c r="AH61" i="12"/>
  <c r="AF59" i="12"/>
  <c r="AH59" i="12"/>
  <c r="AF57" i="12"/>
  <c r="AH57" i="12"/>
  <c r="AF55" i="12"/>
  <c r="AH55" i="12"/>
  <c r="AF53" i="12"/>
  <c r="AH53" i="12"/>
  <c r="AF51" i="12"/>
  <c r="AH51" i="12"/>
  <c r="AF49" i="12"/>
  <c r="AH49" i="12"/>
  <c r="AF47" i="12"/>
  <c r="AH47" i="12"/>
  <c r="AF45" i="12"/>
  <c r="AH45" i="12"/>
  <c r="AF31" i="12"/>
  <c r="AH31" i="12"/>
  <c r="AF30" i="12"/>
  <c r="AH30" i="12"/>
  <c r="AF29" i="12"/>
  <c r="AH29" i="12"/>
  <c r="AF18" i="12"/>
  <c r="AH18" i="12"/>
  <c r="AF16" i="12"/>
  <c r="AF15" i="12"/>
  <c r="AF14" i="12"/>
  <c r="AF13" i="12"/>
  <c r="AF12" i="12"/>
  <c r="AC8" i="12"/>
  <c r="AC9" i="12"/>
  <c r="AC10" i="12"/>
  <c r="AC11" i="12"/>
  <c r="AE6" i="12"/>
  <c r="AE12" i="12"/>
  <c r="AE13" i="12"/>
  <c r="AE14" i="12"/>
  <c r="AE15" i="12"/>
  <c r="AE16" i="12"/>
  <c r="AE17" i="12"/>
  <c r="AE18" i="12"/>
  <c r="AE29" i="12"/>
  <c r="AE30" i="12"/>
  <c r="AE31" i="12"/>
  <c r="AE7" i="12"/>
  <c r="AJ7" i="12"/>
  <c r="AK1" i="12"/>
  <c r="AJ1" i="12"/>
  <c r="AE6" i="1"/>
  <c r="AE12" i="1"/>
  <c r="AE13" i="1"/>
  <c r="AE14" i="1"/>
  <c r="AE15" i="1"/>
  <c r="AE16" i="1"/>
  <c r="AE17" i="1"/>
  <c r="AE18" i="1"/>
  <c r="AE19" i="1"/>
  <c r="AE30" i="1"/>
  <c r="AE31" i="1"/>
  <c r="AC8" i="1"/>
  <c r="AC9" i="1"/>
  <c r="AC10" i="1"/>
  <c r="AC11" i="1"/>
  <c r="AE7" i="1"/>
  <c r="AJ7" i="1"/>
  <c r="AF70" i="1"/>
  <c r="AF70" i="8"/>
  <c r="AH67" i="1"/>
  <c r="A94" i="9"/>
  <c r="A93" i="9"/>
  <c r="A88" i="9"/>
  <c r="A72" i="13"/>
  <c r="A90" i="9"/>
  <c r="A74" i="13"/>
  <c r="A89" i="9"/>
  <c r="A73" i="13"/>
  <c r="A87" i="9"/>
  <c r="A86" i="9"/>
  <c r="A71" i="13"/>
  <c r="A15" i="13"/>
  <c r="A85" i="9"/>
  <c r="A70" i="13"/>
  <c r="A84" i="9"/>
  <c r="A83" i="9"/>
  <c r="A69" i="13"/>
  <c r="A82" i="9"/>
  <c r="A51" i="13"/>
  <c r="A117" i="13"/>
  <c r="A81" i="9"/>
  <c r="A67" i="13"/>
  <c r="A80" i="9"/>
  <c r="A79" i="9"/>
  <c r="A49" i="13"/>
  <c r="A115" i="13"/>
  <c r="A78" i="9"/>
  <c r="A65" i="13"/>
  <c r="A77" i="9"/>
  <c r="A47" i="13"/>
  <c r="A113" i="13"/>
  <c r="A76" i="9"/>
  <c r="A63" i="13"/>
  <c r="A75" i="9"/>
  <c r="A45" i="13"/>
  <c r="A111" i="13"/>
  <c r="A74" i="9"/>
  <c r="A5" i="13"/>
  <c r="A73" i="9"/>
  <c r="A60" i="13"/>
  <c r="A72" i="9"/>
  <c r="A59" i="13"/>
  <c r="AF13" i="1"/>
  <c r="AF1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54" i="1"/>
  <c r="AH54" i="1"/>
  <c r="AF53" i="1"/>
  <c r="AH53" i="1"/>
  <c r="AF52" i="1"/>
  <c r="AH52" i="1"/>
  <c r="AF51" i="1"/>
  <c r="AH51" i="1"/>
  <c r="AF50" i="1"/>
  <c r="AH50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31" i="1"/>
  <c r="AH31" i="1"/>
  <c r="AF30" i="1"/>
  <c r="AH30" i="1"/>
  <c r="AF19" i="1"/>
  <c r="AH19" i="1"/>
  <c r="AF18" i="1"/>
  <c r="AH18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H32" i="7"/>
  <c r="K33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A85" i="7"/>
  <c r="M86" i="7"/>
  <c r="M87" i="7"/>
  <c r="A113" i="7"/>
  <c r="M114" i="7"/>
  <c r="M115" i="7"/>
  <c r="M4" i="1"/>
  <c r="M5" i="1"/>
  <c r="H32" i="1"/>
  <c r="K33" i="1"/>
  <c r="H40" i="1"/>
  <c r="H43" i="1"/>
  <c r="H44" i="1"/>
  <c r="H45" i="1"/>
  <c r="H50" i="1"/>
  <c r="H52" i="1"/>
  <c r="H53" i="1"/>
  <c r="H54" i="1"/>
  <c r="H55" i="1"/>
  <c r="H56" i="1"/>
  <c r="H57" i="1"/>
  <c r="H58" i="1"/>
  <c r="H59" i="1"/>
  <c r="H61" i="1"/>
  <c r="A85" i="1"/>
  <c r="M86" i="1"/>
  <c r="M87" i="1"/>
  <c r="A113" i="1"/>
  <c r="M114" i="1"/>
  <c r="M115" i="1"/>
  <c r="M4" i="8"/>
  <c r="M5" i="8"/>
  <c r="H32" i="8"/>
  <c r="K33" i="8"/>
  <c r="H40" i="8"/>
  <c r="H41" i="8"/>
  <c r="H42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A85" i="8"/>
  <c r="M86" i="8"/>
  <c r="M87" i="8"/>
  <c r="A113" i="8"/>
  <c r="M114" i="8"/>
  <c r="M115" i="8"/>
  <c r="M4" i="12"/>
  <c r="M5" i="12"/>
  <c r="H32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A85" i="12"/>
  <c r="M86" i="12"/>
  <c r="M87" i="12"/>
  <c r="A113" i="12"/>
  <c r="M114" i="12"/>
  <c r="M115" i="12"/>
  <c r="H39" i="1"/>
  <c r="AH13" i="1"/>
  <c r="AH12" i="1"/>
  <c r="AF12" i="8"/>
  <c r="AH12" i="8"/>
  <c r="AJ7" i="8"/>
  <c r="AH67" i="8"/>
  <c r="AF13" i="8"/>
  <c r="AF14" i="8"/>
  <c r="AF15" i="8"/>
  <c r="AF16" i="8"/>
  <c r="AF17" i="8"/>
  <c r="AF18" i="8"/>
  <c r="AF19" i="8"/>
  <c r="AF30" i="8"/>
  <c r="AF31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" i="7"/>
  <c r="AJ7" i="7"/>
  <c r="AH67" i="7"/>
  <c r="AF12" i="7"/>
  <c r="AF13" i="7"/>
  <c r="AF14" i="7"/>
  <c r="AF15" i="7"/>
  <c r="AF16" i="7"/>
  <c r="AF17" i="7"/>
  <c r="AF18" i="7"/>
  <c r="AF19" i="7"/>
  <c r="AF30" i="7"/>
  <c r="AF31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79" i="12"/>
  <c r="Z79" i="12"/>
  <c r="AD79" i="12"/>
  <c r="A3" i="13"/>
  <c r="A40" i="13"/>
  <c r="A38" i="13"/>
  <c r="A27" i="13"/>
  <c r="A57" i="13"/>
  <c r="A55" i="13"/>
  <c r="A54" i="13"/>
  <c r="A120" i="13"/>
  <c r="A44" i="13"/>
  <c r="A43" i="13"/>
  <c r="A109" i="13"/>
  <c r="A61" i="13"/>
  <c r="A4" i="13"/>
  <c r="A25" i="13"/>
  <c r="A39" i="13"/>
  <c r="A37" i="13"/>
  <c r="A26" i="13"/>
  <c r="A56" i="13"/>
  <c r="AH12" i="12"/>
  <c r="AH13" i="12"/>
  <c r="AH14" i="12"/>
  <c r="AH15" i="12"/>
  <c r="AH16" i="12"/>
  <c r="AH44" i="12"/>
  <c r="AH46" i="12"/>
  <c r="AH48" i="12"/>
  <c r="AH50" i="12"/>
  <c r="AH52" i="12"/>
  <c r="AH54" i="12"/>
  <c r="AH56" i="12"/>
  <c r="AH58" i="12"/>
  <c r="AH60" i="12"/>
  <c r="AF17" i="12"/>
  <c r="AB79" i="12"/>
  <c r="AF79" i="1"/>
  <c r="AD79" i="1"/>
  <c r="AB79" i="1"/>
  <c r="Z79" i="1"/>
  <c r="AH60" i="8"/>
  <c r="AH58" i="8"/>
  <c r="AH56" i="8"/>
  <c r="AH54" i="8"/>
  <c r="AH52" i="8"/>
  <c r="AH50" i="8"/>
  <c r="AH48" i="8"/>
  <c r="AH46" i="8"/>
  <c r="AH44" i="8"/>
  <c r="AH31" i="8"/>
  <c r="AH19" i="8"/>
  <c r="AH17" i="8"/>
  <c r="AH15" i="8"/>
  <c r="AH13" i="8"/>
  <c r="AH61" i="8"/>
  <c r="AH59" i="8"/>
  <c r="AH57" i="8"/>
  <c r="AH55" i="8"/>
  <c r="AH53" i="8"/>
  <c r="AH51" i="8"/>
  <c r="AH49" i="8"/>
  <c r="AH47" i="8"/>
  <c r="AH45" i="8"/>
  <c r="AH30" i="8"/>
  <c r="AH18" i="8"/>
  <c r="AH16" i="8"/>
  <c r="AH14" i="8"/>
  <c r="AH60" i="7"/>
  <c r="AH58" i="7"/>
  <c r="AH56" i="7"/>
  <c r="AH54" i="7"/>
  <c r="AH52" i="7"/>
  <c r="AH50" i="7"/>
  <c r="AH48" i="7"/>
  <c r="AH46" i="7"/>
  <c r="AH44" i="7"/>
  <c r="AH30" i="7"/>
  <c r="AH18" i="7"/>
  <c r="AH16" i="7"/>
  <c r="AH14" i="7"/>
  <c r="AH12" i="7"/>
  <c r="AH31" i="7"/>
  <c r="AH19" i="7"/>
  <c r="AH17" i="7"/>
  <c r="AH15" i="7"/>
  <c r="AH13" i="7"/>
  <c r="AH61" i="7"/>
  <c r="AH59" i="7"/>
  <c r="AH57" i="7"/>
  <c r="AH55" i="7"/>
  <c r="AH53" i="7"/>
  <c r="AH51" i="7"/>
  <c r="AH49" i="7"/>
  <c r="AH47" i="7"/>
  <c r="AH45" i="7"/>
  <c r="AH17" i="12"/>
  <c r="AK1" i="7"/>
  <c r="AF79" i="7"/>
  <c r="AB79" i="7"/>
  <c r="AD79" i="7"/>
  <c r="Z79" i="7"/>
  <c r="H39" i="7"/>
  <c r="H39" i="8"/>
  <c r="AH70" i="8"/>
  <c r="AF70" i="7"/>
  <c r="AH70" i="1"/>
  <c r="AF70" i="12"/>
  <c r="AH6" i="7"/>
  <c r="AF6" i="8"/>
  <c r="AH6" i="8"/>
  <c r="AH70" i="12"/>
  <c r="AH70" i="7"/>
  <c r="A31" i="8"/>
  <c r="A31" i="7"/>
  <c r="K2" i="9"/>
  <c r="A1" i="7"/>
  <c r="K2" i="11"/>
  <c r="AH79" i="8"/>
  <c r="AD79" i="8"/>
  <c r="H43" i="8"/>
  <c r="A1" i="12"/>
  <c r="A1" i="8"/>
  <c r="K2" i="10"/>
  <c r="A110" i="13"/>
  <c r="AB79" i="8"/>
  <c r="Z79" i="8"/>
  <c r="AF79" i="8"/>
  <c r="A30" i="7"/>
  <c r="A36" i="13"/>
  <c r="A53" i="13"/>
  <c r="A119" i="13"/>
  <c r="A6" i="13"/>
  <c r="A8" i="13"/>
  <c r="A10" i="13"/>
  <c r="A12" i="13"/>
  <c r="A28" i="13"/>
  <c r="A30" i="13"/>
  <c r="A32" i="13"/>
  <c r="A34" i="13"/>
  <c r="A62" i="13"/>
  <c r="A64" i="13"/>
  <c r="A66" i="13"/>
  <c r="A68" i="13"/>
  <c r="A42" i="13"/>
  <c r="A108" i="13"/>
  <c r="A46" i="13"/>
  <c r="A112" i="13"/>
  <c r="A48" i="13"/>
  <c r="A114" i="13"/>
  <c r="A50" i="13"/>
  <c r="A116" i="13"/>
  <c r="A52" i="13"/>
  <c r="A118" i="13"/>
  <c r="A14" i="13"/>
  <c r="A7" i="13"/>
  <c r="A9" i="13"/>
  <c r="A11" i="13"/>
  <c r="A13" i="13"/>
  <c r="A29" i="13"/>
  <c r="A31" i="13"/>
  <c r="A33" i="13"/>
  <c r="A35" i="13"/>
  <c r="A30" i="8"/>
  <c r="C107" i="13"/>
  <c r="B120" i="8"/>
  <c r="K120" i="8"/>
  <c r="B71" i="1"/>
  <c r="B120" i="1"/>
  <c r="K120" i="1"/>
  <c r="B120" i="7"/>
  <c r="K120" i="7"/>
  <c r="A6" i="7"/>
  <c r="A6" i="12"/>
  <c r="C34" i="8"/>
  <c r="C34" i="1"/>
  <c r="D39" i="12"/>
  <c r="I39" i="12"/>
  <c r="D39" i="7"/>
  <c r="I39" i="7"/>
  <c r="D39" i="1"/>
  <c r="I39" i="1"/>
  <c r="D39" i="8"/>
  <c r="I39" i="8"/>
  <c r="AA70" i="8"/>
  <c r="AA70" i="1"/>
  <c r="AC70" i="1"/>
  <c r="AE70" i="1"/>
  <c r="AG70" i="1"/>
  <c r="AK70" i="1"/>
  <c r="AG70" i="7"/>
  <c r="AC70" i="12"/>
  <c r="AI70" i="1"/>
  <c r="AG70" i="8"/>
  <c r="AC70" i="8"/>
  <c r="AA70" i="12"/>
  <c r="AG70" i="12"/>
  <c r="AE70" i="7"/>
  <c r="AK70" i="7"/>
  <c r="AC70" i="7"/>
  <c r="AA70" i="7"/>
  <c r="AJ70" i="7"/>
  <c r="K116" i="12"/>
  <c r="O116" i="12"/>
  <c r="A40" i="12"/>
  <c r="A89" i="12"/>
  <c r="A40" i="8"/>
  <c r="A89" i="8"/>
  <c r="A39" i="12"/>
  <c r="A88" i="12"/>
  <c r="A39" i="8"/>
  <c r="A88" i="8"/>
  <c r="A39" i="7"/>
  <c r="A88" i="7"/>
  <c r="A88" i="1"/>
  <c r="A41" i="8"/>
  <c r="A90" i="8"/>
  <c r="D40" i="7"/>
  <c r="A41" i="12"/>
  <c r="A90" i="12"/>
  <c r="D40" i="8"/>
  <c r="I40" i="8"/>
  <c r="D40" i="12"/>
  <c r="I40" i="12"/>
  <c r="D41" i="8"/>
  <c r="I41" i="8"/>
  <c r="D42" i="7"/>
  <c r="I42" i="7"/>
  <c r="D42" i="8"/>
  <c r="I42" i="8"/>
  <c r="A42" i="12"/>
  <c r="A91" i="12"/>
  <c r="A42" i="8"/>
  <c r="A91" i="8"/>
  <c r="A42" i="7"/>
  <c r="A91" i="7"/>
  <c r="A91" i="1"/>
  <c r="D42" i="12"/>
  <c r="I42" i="12"/>
  <c r="A43" i="7"/>
  <c r="A92" i="7"/>
  <c r="A43" i="8"/>
  <c r="A92" i="8"/>
  <c r="A92" i="1"/>
  <c r="A43" i="12"/>
  <c r="A92" i="12"/>
  <c r="D41" i="12"/>
  <c r="I41" i="12"/>
  <c r="I40" i="7"/>
  <c r="A44" i="12"/>
  <c r="A93" i="12"/>
  <c r="D43" i="8"/>
  <c r="I43" i="8"/>
  <c r="D43" i="12"/>
  <c r="I43" i="12"/>
  <c r="D43" i="7"/>
  <c r="A44" i="8"/>
  <c r="A93" i="8"/>
  <c r="A44" i="7"/>
  <c r="A93" i="7"/>
  <c r="A93" i="1"/>
  <c r="D43" i="1"/>
  <c r="I43" i="1"/>
  <c r="D44" i="7"/>
  <c r="I44" i="7"/>
  <c r="I43" i="7"/>
  <c r="A45" i="8"/>
  <c r="A94" i="8"/>
  <c r="A45" i="12"/>
  <c r="A94" i="12"/>
  <c r="A45" i="7"/>
  <c r="A94" i="7"/>
  <c r="A94" i="1"/>
  <c r="D44" i="12"/>
  <c r="I44" i="12"/>
  <c r="D44" i="1"/>
  <c r="I44" i="1"/>
  <c r="D45" i="1"/>
  <c r="I45" i="1"/>
  <c r="A46" i="7"/>
  <c r="A95" i="7"/>
  <c r="A46" i="12"/>
  <c r="A95" i="12"/>
  <c r="A46" i="8"/>
  <c r="A95" i="8"/>
  <c r="A95" i="1"/>
  <c r="D45" i="7"/>
  <c r="I45" i="7"/>
  <c r="A96" i="1"/>
  <c r="A47" i="7"/>
  <c r="A96" i="7"/>
  <c r="A47" i="8"/>
  <c r="A96" i="8"/>
  <c r="A47" i="12"/>
  <c r="A96" i="12"/>
  <c r="D46" i="8"/>
  <c r="I46" i="8"/>
  <c r="A48" i="12"/>
  <c r="A97" i="12"/>
  <c r="D47" i="8"/>
  <c r="I47" i="8"/>
  <c r="D47" i="7"/>
  <c r="I47" i="7"/>
  <c r="D47" i="12"/>
  <c r="I47" i="12"/>
  <c r="A48" i="8"/>
  <c r="A97" i="8"/>
  <c r="A97" i="1"/>
  <c r="A49" i="8"/>
  <c r="A98" i="8"/>
  <c r="D48" i="12"/>
  <c r="I48" i="12"/>
  <c r="D48" i="8"/>
  <c r="I48" i="8"/>
  <c r="A50" i="7"/>
  <c r="A99" i="7"/>
  <c r="D49" i="7"/>
  <c r="I49" i="7"/>
  <c r="D49" i="12"/>
  <c r="I49" i="12"/>
  <c r="D50" i="12"/>
  <c r="I50" i="12"/>
  <c r="D50" i="7"/>
  <c r="I50" i="7"/>
  <c r="D50" i="8"/>
  <c r="I50" i="8"/>
  <c r="A51" i="7"/>
  <c r="A100" i="7"/>
  <c r="A51" i="8"/>
  <c r="A100" i="8"/>
  <c r="A51" i="12"/>
  <c r="A100" i="12"/>
  <c r="A100" i="1"/>
  <c r="D50" i="1"/>
  <c r="I50" i="1"/>
  <c r="D51" i="8"/>
  <c r="I51" i="8"/>
  <c r="A52" i="12"/>
  <c r="A101" i="12"/>
  <c r="A52" i="8"/>
  <c r="A101" i="8"/>
  <c r="A52" i="7"/>
  <c r="A101" i="7"/>
  <c r="A101" i="1"/>
  <c r="D51" i="12"/>
  <c r="I51" i="12"/>
  <c r="D52" i="8"/>
  <c r="I52" i="8"/>
  <c r="D52" i="12"/>
  <c r="I52" i="12"/>
  <c r="D52" i="7"/>
  <c r="I52" i="7"/>
  <c r="D52" i="1"/>
  <c r="I52" i="1"/>
  <c r="A53" i="8"/>
  <c r="A102" i="8"/>
  <c r="A53" i="12"/>
  <c r="A102" i="12"/>
  <c r="A53" i="7"/>
  <c r="A102" i="7"/>
  <c r="A102" i="1"/>
  <c r="A54" i="7"/>
  <c r="A103" i="7"/>
  <c r="A54" i="12"/>
  <c r="A103" i="12"/>
  <c r="A54" i="8"/>
  <c r="A103" i="8"/>
  <c r="A103" i="1"/>
  <c r="D53" i="12"/>
  <c r="I53" i="12"/>
  <c r="D53" i="1"/>
  <c r="I53" i="1"/>
  <c r="D53" i="7"/>
  <c r="I53" i="7"/>
  <c r="D53" i="8"/>
  <c r="I53" i="8"/>
  <c r="D54" i="12"/>
  <c r="I54" i="12"/>
  <c r="A55" i="8"/>
  <c r="A104" i="8"/>
  <c r="A55" i="12"/>
  <c r="A104" i="12"/>
  <c r="A104" i="1"/>
  <c r="A55" i="7"/>
  <c r="A104" i="7"/>
  <c r="D54" i="7"/>
  <c r="I54" i="7"/>
  <c r="D55" i="8"/>
  <c r="I55" i="8"/>
  <c r="D55" i="1"/>
  <c r="I55" i="1"/>
  <c r="D55" i="7"/>
  <c r="I55" i="7"/>
  <c r="D56" i="8"/>
  <c r="I56" i="8"/>
  <c r="D56" i="7"/>
  <c r="I56" i="7"/>
  <c r="D56" i="12"/>
  <c r="I56" i="12"/>
  <c r="D56" i="1"/>
  <c r="I56" i="1"/>
  <c r="A58" i="7"/>
  <c r="A107" i="7"/>
  <c r="D57" i="12"/>
  <c r="I57" i="12"/>
  <c r="D57" i="8"/>
  <c r="I57" i="8"/>
  <c r="D57" i="1"/>
  <c r="I57" i="1"/>
  <c r="D57" i="7"/>
  <c r="I57" i="7"/>
  <c r="D58" i="8"/>
  <c r="I58" i="8"/>
  <c r="D58" i="12"/>
  <c r="I58" i="12"/>
  <c r="D58" i="7"/>
  <c r="I58" i="7"/>
  <c r="A59" i="12"/>
  <c r="A108" i="12"/>
  <c r="A59" i="8"/>
  <c r="A108" i="8"/>
  <c r="A108" i="1"/>
  <c r="A59" i="7"/>
  <c r="A108" i="7"/>
  <c r="D59" i="8"/>
  <c r="I59" i="8"/>
  <c r="D59" i="12"/>
  <c r="I59" i="12"/>
  <c r="A60" i="7"/>
  <c r="A109" i="7"/>
  <c r="A60" i="12"/>
  <c r="A109" i="12"/>
  <c r="A60" i="8"/>
  <c r="A109" i="8"/>
  <c r="A109" i="1"/>
  <c r="D59" i="7"/>
  <c r="I59" i="7"/>
  <c r="A61" i="8"/>
  <c r="A110" i="8"/>
  <c r="A61" i="12"/>
  <c r="A110" i="12"/>
  <c r="A110" i="1"/>
  <c r="A61" i="7"/>
  <c r="A110" i="7"/>
  <c r="D60" i="12"/>
  <c r="I60" i="12"/>
  <c r="D60" i="7"/>
  <c r="I60" i="7"/>
  <c r="D60" i="8"/>
  <c r="I60" i="8"/>
  <c r="D61" i="8"/>
  <c r="I61" i="8"/>
  <c r="D61" i="7"/>
  <c r="I61" i="7"/>
  <c r="C62" i="1"/>
  <c r="D61" i="12"/>
  <c r="K61" i="12"/>
  <c r="L61" i="12"/>
  <c r="K39" i="12"/>
  <c r="L39" i="12"/>
  <c r="K40" i="12"/>
  <c r="L40" i="12"/>
  <c r="K41" i="12"/>
  <c r="L41" i="12"/>
  <c r="K42" i="12"/>
  <c r="L42" i="12"/>
  <c r="K43" i="12"/>
  <c r="L43" i="12"/>
  <c r="K44" i="12"/>
  <c r="L44" i="12"/>
  <c r="K45" i="12"/>
  <c r="L45" i="12"/>
  <c r="K46" i="12"/>
  <c r="L46" i="12"/>
  <c r="K47" i="12"/>
  <c r="L47" i="12"/>
  <c r="K48" i="12"/>
  <c r="L48" i="12"/>
  <c r="K49" i="12"/>
  <c r="L4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K60" i="12"/>
  <c r="L60" i="12"/>
  <c r="L62" i="12"/>
  <c r="C62" i="7"/>
  <c r="D61" i="1"/>
  <c r="C62" i="12"/>
  <c r="C62" i="8"/>
  <c r="K39" i="8"/>
  <c r="K43" i="8"/>
  <c r="L43" i="8"/>
  <c r="K47" i="8"/>
  <c r="L47" i="8"/>
  <c r="K50" i="8"/>
  <c r="L50" i="8"/>
  <c r="K52" i="8"/>
  <c r="L52" i="8"/>
  <c r="K54" i="8"/>
  <c r="L54" i="8"/>
  <c r="K56" i="8"/>
  <c r="L56" i="8"/>
  <c r="K58" i="8"/>
  <c r="L58" i="8"/>
  <c r="K60" i="8"/>
  <c r="L60" i="8"/>
  <c r="K39" i="7"/>
  <c r="K41" i="7"/>
  <c r="L41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I61" i="1"/>
  <c r="K70" i="12"/>
  <c r="I61" i="12"/>
  <c r="K61" i="7"/>
  <c r="L61" i="7"/>
  <c r="K67" i="12"/>
  <c r="L39" i="7"/>
  <c r="C111" i="1"/>
  <c r="D54" i="8"/>
  <c r="D46" i="12"/>
  <c r="A90" i="1"/>
  <c r="A41" i="7"/>
  <c r="A90" i="7"/>
  <c r="K116" i="1"/>
  <c r="C34" i="12"/>
  <c r="B71" i="7"/>
  <c r="K71" i="7"/>
  <c r="I70" i="7"/>
  <c r="AA80" i="7"/>
  <c r="AE80" i="7"/>
  <c r="AC80" i="7"/>
  <c r="AG80" i="7"/>
  <c r="AH80" i="7"/>
  <c r="I46" i="12"/>
  <c r="I54" i="8"/>
  <c r="K59" i="8"/>
  <c r="L59" i="8"/>
  <c r="K57" i="8"/>
  <c r="L57" i="8"/>
  <c r="K55" i="8"/>
  <c r="L55" i="8"/>
  <c r="K53" i="8"/>
  <c r="L53" i="8"/>
  <c r="K51" i="8"/>
  <c r="L51" i="8"/>
  <c r="K49" i="8"/>
  <c r="L49" i="8"/>
  <c r="K45" i="8"/>
  <c r="L45" i="8"/>
  <c r="K41" i="8"/>
  <c r="L41" i="8"/>
  <c r="K48" i="8"/>
  <c r="L48" i="8"/>
  <c r="K46" i="8"/>
  <c r="L46" i="8"/>
  <c r="K44" i="8"/>
  <c r="L44" i="8"/>
  <c r="K42" i="8"/>
  <c r="L42" i="8"/>
  <c r="K40" i="8"/>
  <c r="L40" i="8"/>
  <c r="L39" i="8"/>
  <c r="K61" i="8"/>
  <c r="L61" i="8"/>
  <c r="L62" i="8"/>
  <c r="B71" i="8"/>
  <c r="K71" i="8"/>
  <c r="K42" i="7"/>
  <c r="L42" i="7"/>
  <c r="K40" i="7"/>
  <c r="L40" i="7"/>
  <c r="AI70" i="7"/>
  <c r="O119" i="12"/>
  <c r="K33" i="12"/>
  <c r="E12" i="13"/>
  <c r="AJ70" i="1"/>
  <c r="D40" i="1"/>
  <c r="I40" i="1"/>
  <c r="K58" i="1"/>
  <c r="L58" i="1"/>
  <c r="K45" i="1"/>
  <c r="L45" i="1"/>
  <c r="K42" i="1"/>
  <c r="L42" i="1"/>
  <c r="K70" i="7"/>
  <c r="K67" i="7"/>
  <c r="A56" i="12"/>
  <c r="A105" i="12"/>
  <c r="A56" i="8"/>
  <c r="A105" i="8"/>
  <c r="A56" i="7"/>
  <c r="A105" i="7"/>
  <c r="A105" i="1"/>
  <c r="D54" i="1"/>
  <c r="D59" i="1"/>
  <c r="I59" i="1"/>
  <c r="A57" i="7"/>
  <c r="A106" i="7"/>
  <c r="A57" i="12"/>
  <c r="A106" i="12"/>
  <c r="A57" i="8"/>
  <c r="A106" i="8"/>
  <c r="A106" i="1"/>
  <c r="D55" i="12"/>
  <c r="I55" i="12"/>
  <c r="K62" i="12"/>
  <c r="K62" i="7"/>
  <c r="D58" i="1"/>
  <c r="I58" i="1"/>
  <c r="A107" i="1"/>
  <c r="A58" i="8"/>
  <c r="A107" i="8"/>
  <c r="A58" i="12"/>
  <c r="A107" i="12"/>
  <c r="AJ70" i="12"/>
  <c r="C111" i="8"/>
  <c r="C111" i="12"/>
  <c r="D107" i="13"/>
  <c r="I74" i="12"/>
  <c r="AJ70" i="8"/>
  <c r="AA80" i="1"/>
  <c r="AE80" i="1"/>
  <c r="AG80" i="1"/>
  <c r="AC80" i="1"/>
  <c r="C111" i="7"/>
  <c r="K120" i="12"/>
  <c r="B71" i="12"/>
  <c r="K71" i="12"/>
  <c r="D51" i="7"/>
  <c r="I51" i="7"/>
  <c r="A99" i="1"/>
  <c r="A50" i="12"/>
  <c r="A99" i="12"/>
  <c r="A50" i="8"/>
  <c r="A99" i="8"/>
  <c r="D49" i="8"/>
  <c r="I49" i="8"/>
  <c r="A98" i="1"/>
  <c r="A49" i="12"/>
  <c r="A98" i="12"/>
  <c r="A49" i="7"/>
  <c r="A98" i="7"/>
  <c r="D48" i="7"/>
  <c r="I48" i="7"/>
  <c r="A48" i="7"/>
  <c r="A97" i="7"/>
  <c r="D46" i="7"/>
  <c r="I46" i="7"/>
  <c r="D45" i="12"/>
  <c r="D45" i="8"/>
  <c r="I45" i="8"/>
  <c r="D44" i="8"/>
  <c r="D41" i="7"/>
  <c r="A89" i="1"/>
  <c r="A40" i="7"/>
  <c r="A89" i="7"/>
  <c r="AE70" i="12"/>
  <c r="AK70" i="12"/>
  <c r="AE70" i="8"/>
  <c r="AK70" i="8"/>
  <c r="A6" i="8"/>
  <c r="K62" i="8"/>
  <c r="K70" i="8"/>
  <c r="K67" i="8"/>
  <c r="E84" i="9"/>
  <c r="AE80" i="8"/>
  <c r="I70" i="8"/>
  <c r="AA80" i="8"/>
  <c r="AC80" i="8"/>
  <c r="AG80" i="8"/>
  <c r="K122" i="8"/>
  <c r="E8" i="13"/>
  <c r="D39" i="13"/>
  <c r="D18" i="13"/>
  <c r="B39" i="13"/>
  <c r="AH80" i="1"/>
  <c r="CV12" i="13"/>
  <c r="CY12" i="13"/>
  <c r="CS12" i="13"/>
  <c r="CX12" i="13"/>
  <c r="CU12" i="13"/>
  <c r="CT12" i="13"/>
  <c r="D12" i="13"/>
  <c r="CR12" i="13"/>
  <c r="CQ12" i="13"/>
  <c r="DA12" i="13"/>
  <c r="CW12" i="13"/>
  <c r="CZ12" i="13"/>
  <c r="B121" i="1"/>
  <c r="K43" i="1"/>
  <c r="L43" i="1"/>
  <c r="K41" i="1"/>
  <c r="L41" i="1"/>
  <c r="K48" i="1"/>
  <c r="L48" i="1"/>
  <c r="K52" i="1"/>
  <c r="L52" i="1"/>
  <c r="K60" i="1"/>
  <c r="L60" i="1"/>
  <c r="K40" i="1"/>
  <c r="L40" i="1"/>
  <c r="K39" i="1"/>
  <c r="L39" i="1"/>
  <c r="K44" i="1"/>
  <c r="L44" i="1"/>
  <c r="K47" i="1"/>
  <c r="L47" i="1"/>
  <c r="K49" i="1"/>
  <c r="L49" i="1"/>
  <c r="K51" i="1"/>
  <c r="L51" i="1"/>
  <c r="K53" i="1"/>
  <c r="L53" i="1"/>
  <c r="K55" i="1"/>
  <c r="L55" i="1"/>
  <c r="K57" i="1"/>
  <c r="L57" i="1"/>
  <c r="K59" i="1"/>
  <c r="L59" i="1"/>
  <c r="K61" i="1"/>
  <c r="L61" i="1"/>
  <c r="K46" i="1"/>
  <c r="L46" i="1"/>
  <c r="K50" i="1"/>
  <c r="L50" i="1"/>
  <c r="K56" i="1"/>
  <c r="L56" i="1"/>
  <c r="K54" i="1"/>
  <c r="L54" i="1"/>
  <c r="K71" i="1"/>
  <c r="K70" i="1"/>
  <c r="K67" i="1"/>
  <c r="B72" i="1"/>
  <c r="K72" i="1"/>
  <c r="I44" i="8"/>
  <c r="I62" i="8"/>
  <c r="D62" i="8"/>
  <c r="I45" i="12"/>
  <c r="I62" i="12"/>
  <c r="D62" i="12"/>
  <c r="F120" i="13"/>
  <c r="F118" i="13"/>
  <c r="F113" i="13"/>
  <c r="I70" i="12"/>
  <c r="AE80" i="12"/>
  <c r="AA80" i="12"/>
  <c r="AC80" i="12"/>
  <c r="AG80" i="12"/>
  <c r="AH80" i="12"/>
  <c r="AI70" i="12"/>
  <c r="I41" i="7"/>
  <c r="I62" i="7"/>
  <c r="D62" i="7"/>
  <c r="K116" i="7"/>
  <c r="E107" i="13"/>
  <c r="K116" i="8"/>
  <c r="B121" i="8"/>
  <c r="I54" i="1"/>
  <c r="D62" i="1"/>
  <c r="AI70" i="8"/>
  <c r="E5" i="13"/>
  <c r="I93" i="9"/>
  <c r="E17" i="13"/>
  <c r="E39" i="13"/>
  <c r="E80" i="9"/>
  <c r="AH80" i="8"/>
  <c r="E18" i="13"/>
  <c r="E40" i="13"/>
  <c r="I94" i="9"/>
  <c r="E14" i="13"/>
  <c r="E10" i="13"/>
  <c r="E87" i="9"/>
  <c r="E4" i="13"/>
  <c r="D40" i="13"/>
  <c r="H94" i="9"/>
  <c r="H93" i="9"/>
  <c r="D17" i="13"/>
  <c r="B40" i="13"/>
  <c r="B18" i="13"/>
  <c r="F93" i="9"/>
  <c r="F94" i="9"/>
  <c r="B17" i="13"/>
  <c r="K122" i="1"/>
  <c r="K121" i="1"/>
  <c r="C18" i="13"/>
  <c r="C40" i="13"/>
  <c r="G93" i="9"/>
  <c r="G94" i="9"/>
  <c r="C17" i="13"/>
  <c r="C39" i="13"/>
  <c r="K73" i="1"/>
  <c r="K62" i="1"/>
  <c r="L62" i="1"/>
  <c r="K121" i="8"/>
  <c r="B72" i="8"/>
  <c r="K72" i="8"/>
  <c r="K73" i="8"/>
  <c r="CY44" i="13"/>
  <c r="DA42" i="13"/>
  <c r="CX19" i="13"/>
  <c r="H53" i="13"/>
  <c r="Q45" i="13"/>
  <c r="U47" i="13"/>
  <c r="G49" i="13"/>
  <c r="X42" i="13"/>
  <c r="Y42" i="13"/>
  <c r="O47" i="13"/>
  <c r="N53" i="13"/>
  <c r="L44" i="13"/>
  <c r="W48" i="13"/>
  <c r="J45" i="13"/>
  <c r="G43" i="13"/>
  <c r="S50" i="13"/>
  <c r="F50" i="13"/>
  <c r="U49" i="13"/>
  <c r="H45" i="13"/>
  <c r="L43" i="13"/>
  <c r="K42" i="13"/>
  <c r="CX44" i="13"/>
  <c r="DA46" i="13"/>
  <c r="DA52" i="13"/>
  <c r="S46" i="13"/>
  <c r="P19" i="13"/>
  <c r="S47" i="13"/>
  <c r="Y43" i="13"/>
  <c r="Y46" i="13"/>
  <c r="J43" i="13"/>
  <c r="U52" i="13"/>
  <c r="K48" i="13"/>
  <c r="X44" i="13"/>
  <c r="S54" i="13"/>
  <c r="F46" i="13"/>
  <c r="O19" i="13"/>
  <c r="V42" i="13"/>
  <c r="O49" i="13"/>
  <c r="J49" i="13"/>
  <c r="V53" i="13"/>
  <c r="CZ46" i="13"/>
  <c r="H43" i="13"/>
  <c r="Y44" i="13"/>
  <c r="H52" i="13"/>
  <c r="R46" i="13"/>
  <c r="H48" i="13"/>
  <c r="W45" i="13"/>
  <c r="N52" i="13"/>
  <c r="I52" i="13"/>
  <c r="O48" i="13"/>
  <c r="CZ52" i="13"/>
  <c r="G42" i="13"/>
  <c r="U43" i="13"/>
  <c r="M48" i="13"/>
  <c r="M47" i="13"/>
  <c r="K43" i="13"/>
  <c r="K44" i="13"/>
  <c r="Y51" i="13"/>
  <c r="H19" i="13"/>
  <c r="T52" i="13"/>
  <c r="CW54" i="13"/>
  <c r="CZ54" i="13"/>
  <c r="CW47" i="13"/>
  <c r="DA49" i="13"/>
  <c r="CY42" i="13"/>
  <c r="F49" i="13"/>
  <c r="X50" i="13"/>
  <c r="K49" i="13"/>
  <c r="I54" i="13"/>
  <c r="J42" i="13"/>
  <c r="P49" i="13"/>
  <c r="W47" i="13"/>
  <c r="I47" i="13"/>
  <c r="CX51" i="13"/>
  <c r="CZ48" i="13"/>
  <c r="T43" i="13"/>
  <c r="X49" i="13"/>
  <c r="I46" i="13"/>
  <c r="R53" i="13"/>
  <c r="O52" i="13"/>
  <c r="K51" i="13"/>
  <c r="P51" i="13"/>
  <c r="Q52" i="13"/>
  <c r="L50" i="13"/>
  <c r="CW44" i="13"/>
  <c r="CZ19" i="13"/>
  <c r="CZ50" i="13"/>
  <c r="CX50" i="13"/>
  <c r="S43" i="13"/>
  <c r="J48" i="13"/>
  <c r="X54" i="13"/>
  <c r="I50" i="13"/>
  <c r="G45" i="13"/>
  <c r="O50" i="13"/>
  <c r="R47" i="13"/>
  <c r="G48" i="13"/>
  <c r="F44" i="13"/>
  <c r="N43" i="13"/>
  <c r="P52" i="13"/>
  <c r="O46" i="13"/>
  <c r="F47" i="13"/>
  <c r="H44" i="13"/>
  <c r="P42" i="13"/>
  <c r="R54" i="13"/>
  <c r="Q44" i="13"/>
  <c r="Y19" i="13"/>
  <c r="CX48" i="13"/>
  <c r="DA44" i="13"/>
  <c r="DA47" i="13"/>
  <c r="V48" i="13"/>
  <c r="J53" i="13"/>
  <c r="U19" i="13"/>
  <c r="T46" i="13"/>
  <c r="K19" i="13"/>
  <c r="O45" i="13"/>
  <c r="V52" i="13"/>
  <c r="V49" i="13"/>
  <c r="F19" i="13"/>
  <c r="X43" i="13"/>
  <c r="S48" i="13"/>
  <c r="I49" i="13"/>
  <c r="T54" i="13"/>
  <c r="P48" i="13"/>
  <c r="X46" i="13"/>
  <c r="H51" i="13"/>
  <c r="W53" i="13"/>
  <c r="CY52" i="13"/>
  <c r="L19" i="13"/>
  <c r="Q54" i="13"/>
  <c r="S44" i="13"/>
  <c r="O54" i="13"/>
  <c r="M42" i="13"/>
  <c r="R44" i="13"/>
  <c r="N51" i="13"/>
  <c r="G52" i="13"/>
  <c r="F54" i="13"/>
  <c r="CX42" i="13"/>
  <c r="DA48" i="13"/>
  <c r="Y53" i="13"/>
  <c r="F53" i="13"/>
  <c r="Y54" i="13"/>
  <c r="V50" i="13"/>
  <c r="W54" i="13"/>
  <c r="O43" i="13"/>
  <c r="J47" i="13"/>
  <c r="V43" i="13"/>
  <c r="L42" i="13"/>
  <c r="CY54" i="13"/>
  <c r="CW46" i="13"/>
  <c r="CY46" i="13"/>
  <c r="CZ45" i="13"/>
  <c r="T48" i="13"/>
  <c r="F42" i="13"/>
  <c r="V47" i="13"/>
  <c r="I48" i="13"/>
  <c r="L48" i="13"/>
  <c r="M51" i="13"/>
  <c r="L54" i="13"/>
  <c r="W44" i="13"/>
  <c r="J51" i="13"/>
  <c r="CX43" i="13"/>
  <c r="Q50" i="13"/>
  <c r="U45" i="13"/>
  <c r="M43" i="13"/>
  <c r="N42" i="13"/>
  <c r="Y50" i="13"/>
  <c r="V44" i="13"/>
  <c r="T49" i="13"/>
  <c r="Y45" i="13"/>
  <c r="T47" i="13"/>
  <c r="CW42" i="13"/>
  <c r="DA53" i="13"/>
  <c r="CW50" i="13"/>
  <c r="CY61" i="13"/>
  <c r="CY49" i="13"/>
  <c r="CY47" i="13"/>
  <c r="CZ53" i="13"/>
  <c r="CY50" i="13"/>
  <c r="W52" i="13"/>
  <c r="X48" i="13"/>
  <c r="M49" i="13"/>
  <c r="T53" i="13"/>
  <c r="P43" i="13"/>
  <c r="S49" i="13"/>
  <c r="P50" i="13"/>
  <c r="T42" i="13"/>
  <c r="V51" i="13"/>
  <c r="F45" i="13"/>
  <c r="L52" i="13"/>
  <c r="I45" i="13"/>
  <c r="U42" i="13"/>
  <c r="O42" i="13"/>
  <c r="X51" i="13"/>
  <c r="Q51" i="13"/>
  <c r="CX47" i="13"/>
  <c r="DA51" i="13"/>
  <c r="L47" i="13"/>
  <c r="R52" i="13"/>
  <c r="R48" i="13"/>
  <c r="H46" i="13"/>
  <c r="H42" i="13"/>
  <c r="V19" i="13"/>
  <c r="U46" i="13"/>
  <c r="Q42" i="13"/>
  <c r="R49" i="13"/>
  <c r="O51" i="13"/>
  <c r="Q53" i="13"/>
  <c r="R51" i="13"/>
  <c r="R43" i="13"/>
  <c r="I53" i="13"/>
  <c r="Y47" i="13"/>
  <c r="N19" i="13"/>
  <c r="S53" i="13"/>
  <c r="DA54" i="13"/>
  <c r="CZ42" i="13"/>
  <c r="V46" i="13"/>
  <c r="S45" i="13"/>
  <c r="F51" i="13"/>
  <c r="R50" i="13"/>
  <c r="Y52" i="13"/>
  <c r="Q46" i="13"/>
  <c r="J50" i="13"/>
  <c r="K53" i="13"/>
  <c r="CY45" i="13"/>
  <c r="CZ47" i="13"/>
  <c r="Q48" i="13"/>
  <c r="X19" i="13"/>
  <c r="P44" i="13"/>
  <c r="G54" i="13"/>
  <c r="Q19" i="13"/>
  <c r="U50" i="13"/>
  <c r="S52" i="13"/>
  <c r="N47" i="13"/>
  <c r="G47" i="13"/>
  <c r="CW53" i="13"/>
  <c r="CX49" i="13"/>
  <c r="CY48" i="13"/>
  <c r="CZ44" i="13"/>
  <c r="CZ61" i="13"/>
  <c r="J54" i="13"/>
  <c r="K46" i="13"/>
  <c r="L49" i="13"/>
  <c r="K45" i="13"/>
  <c r="P47" i="13"/>
  <c r="W49" i="13"/>
  <c r="N46" i="13"/>
  <c r="N48" i="13"/>
  <c r="I44" i="13"/>
  <c r="DA19" i="13"/>
  <c r="G19" i="13"/>
  <c r="X52" i="13"/>
  <c r="H47" i="13"/>
  <c r="M50" i="13"/>
  <c r="W50" i="13"/>
  <c r="L45" i="13"/>
  <c r="G51" i="13"/>
  <c r="M19" i="13"/>
  <c r="H50" i="13"/>
  <c r="CW45" i="13"/>
  <c r="CX54" i="13"/>
  <c r="CZ51" i="13"/>
  <c r="CX45" i="13"/>
  <c r="CZ49" i="13"/>
  <c r="Y49" i="13"/>
  <c r="U51" i="13"/>
  <c r="G50" i="13"/>
  <c r="W46" i="13"/>
  <c r="G46" i="13"/>
  <c r="R45" i="13"/>
  <c r="U44" i="13"/>
  <c r="I19" i="13"/>
  <c r="K47" i="13"/>
  <c r="K52" i="13"/>
  <c r="Q47" i="13"/>
  <c r="I51" i="13"/>
  <c r="L46" i="13"/>
  <c r="W42" i="13"/>
  <c r="F52" i="13"/>
  <c r="P46" i="13"/>
  <c r="P54" i="13"/>
  <c r="CY19" i="13"/>
  <c r="DA50" i="13"/>
  <c r="D16" i="13"/>
  <c r="E16" i="13"/>
  <c r="CW19" i="13"/>
  <c r="X45" i="13"/>
  <c r="J19" i="13"/>
  <c r="N44" i="13"/>
  <c r="H49" i="13"/>
  <c r="T51" i="13"/>
  <c r="K54" i="13"/>
  <c r="W51" i="13"/>
  <c r="U48" i="13"/>
  <c r="M54" i="13"/>
  <c r="U54" i="13"/>
  <c r="T50" i="13"/>
  <c r="F43" i="13"/>
  <c r="L51" i="13"/>
  <c r="T19" i="13"/>
  <c r="Q43" i="13"/>
  <c r="M53" i="13"/>
  <c r="H54" i="13"/>
  <c r="DA45" i="13"/>
  <c r="CX52" i="13"/>
  <c r="O44" i="13"/>
  <c r="M52" i="13"/>
  <c r="T45" i="13"/>
  <c r="X47" i="13"/>
  <c r="S42" i="13"/>
  <c r="R42" i="13"/>
  <c r="G53" i="13"/>
  <c r="I43" i="13"/>
  <c r="G44" i="13"/>
  <c r="CY51" i="13"/>
  <c r="Y48" i="13"/>
  <c r="J44" i="13"/>
  <c r="N49" i="13"/>
  <c r="M45" i="13"/>
  <c r="V45" i="13"/>
  <c r="W19" i="13"/>
  <c r="N45" i="13"/>
  <c r="I42" i="13"/>
  <c r="V54" i="13"/>
  <c r="CW49" i="13"/>
  <c r="CY53" i="13"/>
  <c r="CW43" i="13"/>
  <c r="CY43" i="13"/>
  <c r="CY60" i="13"/>
  <c r="N54" i="13"/>
  <c r="P53" i="13"/>
  <c r="L53" i="13"/>
  <c r="M46" i="13"/>
  <c r="F48" i="13"/>
  <c r="N50" i="13"/>
  <c r="X53" i="13"/>
  <c r="J46" i="13"/>
  <c r="S51" i="13"/>
  <c r="CX46" i="13"/>
  <c r="CZ43" i="13"/>
  <c r="J52" i="13"/>
  <c r="T44" i="13"/>
  <c r="K50" i="13"/>
  <c r="M44" i="13"/>
  <c r="P45" i="13"/>
  <c r="O53" i="13"/>
  <c r="U53" i="13"/>
  <c r="W43" i="13"/>
  <c r="Q49" i="13"/>
  <c r="CW61" i="13"/>
  <c r="CW51" i="13"/>
  <c r="CX53" i="13"/>
  <c r="CW48" i="13"/>
  <c r="DA27" i="13"/>
  <c r="CY27" i="13"/>
  <c r="DA61" i="13"/>
  <c r="CW64" i="13"/>
  <c r="CW30" i="13"/>
  <c r="CX30" i="13"/>
  <c r="CX66" i="13"/>
  <c r="DA32" i="13"/>
  <c r="CW66" i="13"/>
  <c r="CW68" i="13"/>
  <c r="CX34" i="13"/>
  <c r="CZ27" i="13"/>
  <c r="CX27" i="13"/>
  <c r="CW52" i="13"/>
  <c r="CW27" i="13"/>
  <c r="CX61" i="13"/>
  <c r="CZ64" i="13"/>
  <c r="CZ30" i="13"/>
  <c r="CX32" i="13"/>
  <c r="CW32" i="13"/>
  <c r="CY68" i="13"/>
  <c r="CW34" i="13"/>
  <c r="DA68" i="13"/>
  <c r="DA64" i="13"/>
  <c r="CY64" i="13"/>
  <c r="DA66" i="13"/>
  <c r="CZ32" i="13"/>
  <c r="CZ34" i="13"/>
  <c r="CZ68" i="13"/>
  <c r="CZ36" i="13"/>
  <c r="CZ70" i="13"/>
  <c r="CW36" i="13"/>
  <c r="CY70" i="13"/>
  <c r="CX26" i="13"/>
  <c r="DA36" i="13"/>
  <c r="DA70" i="13"/>
  <c r="CY26" i="13"/>
  <c r="CY30" i="13"/>
  <c r="CX64" i="13"/>
  <c r="DA30" i="13"/>
  <c r="CY32" i="13"/>
  <c r="CY66" i="13"/>
  <c r="CZ66" i="13"/>
  <c r="DA34" i="13"/>
  <c r="CY34" i="13"/>
  <c r="CX68" i="13"/>
  <c r="CW70" i="13"/>
  <c r="CW26" i="13"/>
  <c r="CZ26" i="13"/>
  <c r="DA26" i="13"/>
  <c r="CX36" i="13"/>
  <c r="CY36" i="13"/>
  <c r="CX70" i="13"/>
  <c r="CZ60" i="13"/>
  <c r="CW60" i="13"/>
  <c r="CX60" i="13"/>
  <c r="B121" i="12"/>
  <c r="K122" i="12"/>
  <c r="K111" i="12"/>
  <c r="B121" i="7"/>
  <c r="K122" i="7"/>
  <c r="K111" i="7"/>
  <c r="D111" i="7"/>
  <c r="D32" i="7"/>
  <c r="D34" i="7"/>
  <c r="I74" i="7"/>
  <c r="I74" i="8"/>
  <c r="D4" i="13"/>
  <c r="CQ4" i="13"/>
  <c r="CU4" i="13"/>
  <c r="CV4" i="13"/>
  <c r="CR4" i="13"/>
  <c r="DA4" i="13"/>
  <c r="CY4" i="13"/>
  <c r="CT4" i="13"/>
  <c r="CZ4" i="13"/>
  <c r="CS4" i="13"/>
  <c r="CW4" i="13"/>
  <c r="CX4" i="13"/>
  <c r="CT10" i="13"/>
  <c r="CV10" i="13"/>
  <c r="CU10" i="13"/>
  <c r="CS10" i="13"/>
  <c r="D10" i="13"/>
  <c r="CR10" i="13"/>
  <c r="CQ10" i="13"/>
  <c r="CX10" i="13"/>
  <c r="CY10" i="13"/>
  <c r="DA10" i="13"/>
  <c r="CZ10" i="13"/>
  <c r="CW10" i="13"/>
  <c r="DA40" i="13"/>
  <c r="CX40" i="13"/>
  <c r="CW40" i="13"/>
  <c r="CS40" i="13"/>
  <c r="CY40" i="13"/>
  <c r="CV40" i="13"/>
  <c r="CR40" i="13"/>
  <c r="CZ40" i="13"/>
  <c r="CT40" i="13"/>
  <c r="CU40" i="13"/>
  <c r="CQ40" i="13"/>
  <c r="E13" i="13"/>
  <c r="CX8" i="13"/>
  <c r="CV8" i="13"/>
  <c r="CU8" i="13"/>
  <c r="D8" i="13"/>
  <c r="CQ8" i="13"/>
  <c r="CW8" i="13"/>
  <c r="CT8" i="13"/>
  <c r="CY8" i="13"/>
  <c r="DA8" i="13"/>
  <c r="CZ8" i="13"/>
  <c r="CS8" i="13"/>
  <c r="CR8" i="13"/>
  <c r="E9" i="13"/>
  <c r="CY17" i="13"/>
  <c r="CQ17" i="13"/>
  <c r="CU17" i="13"/>
  <c r="DA17" i="13"/>
  <c r="CT17" i="13"/>
  <c r="CX17" i="13"/>
  <c r="CZ17" i="13"/>
  <c r="CS17" i="13"/>
  <c r="CV17" i="13"/>
  <c r="CR17" i="13"/>
  <c r="CW17" i="13"/>
  <c r="CV5" i="13"/>
  <c r="CU5" i="13"/>
  <c r="CZ5" i="13"/>
  <c r="CX5" i="13"/>
  <c r="D5" i="13"/>
  <c r="CQ5" i="13"/>
  <c r="CR5" i="13"/>
  <c r="CS5" i="13"/>
  <c r="CT5" i="13"/>
  <c r="CY5" i="13"/>
  <c r="CW5" i="13"/>
  <c r="DA5" i="13"/>
  <c r="CU14" i="13"/>
  <c r="CV14" i="13"/>
  <c r="CZ14" i="13"/>
  <c r="CX14" i="13"/>
  <c r="CT14" i="13"/>
  <c r="CW14" i="13"/>
  <c r="DA14" i="13"/>
  <c r="D14" i="13"/>
  <c r="CR14" i="13"/>
  <c r="CY14" i="13"/>
  <c r="CQ14" i="13"/>
  <c r="CS14" i="13"/>
  <c r="CY18" i="13"/>
  <c r="CW18" i="13"/>
  <c r="CV18" i="13"/>
  <c r="CZ18" i="13"/>
  <c r="CU18" i="13"/>
  <c r="CR18" i="13"/>
  <c r="CT18" i="13"/>
  <c r="DA18" i="13"/>
  <c r="CX18" i="13"/>
  <c r="CS18" i="13"/>
  <c r="CQ18" i="13"/>
  <c r="E3" i="13"/>
  <c r="CT39" i="13"/>
  <c r="CV39" i="13"/>
  <c r="CW39" i="13"/>
  <c r="CU39" i="13"/>
  <c r="CR39" i="13"/>
  <c r="CX39" i="13"/>
  <c r="CQ39" i="13"/>
  <c r="CS39" i="13"/>
  <c r="CY39" i="13"/>
  <c r="DA39" i="13"/>
  <c r="CZ39" i="13"/>
  <c r="BX39" i="13"/>
  <c r="CN39" i="13"/>
  <c r="CA39" i="13"/>
  <c r="CG39" i="13"/>
  <c r="CC39" i="13"/>
  <c r="BY39" i="13"/>
  <c r="BZ39" i="13"/>
  <c r="CL39" i="13"/>
  <c r="CD39" i="13"/>
  <c r="CI39" i="13"/>
  <c r="CB39" i="13"/>
  <c r="CJ39" i="13"/>
  <c r="CM39" i="13"/>
  <c r="CE39" i="13"/>
  <c r="BW39" i="13"/>
  <c r="CH39" i="13"/>
  <c r="CO39" i="13"/>
  <c r="CF39" i="13"/>
  <c r="CP39" i="13"/>
  <c r="CK39" i="13"/>
  <c r="CJ18" i="13"/>
  <c r="CO18" i="13"/>
  <c r="CK18" i="13"/>
  <c r="CG18" i="13"/>
  <c r="BZ18" i="13"/>
  <c r="CB18" i="13"/>
  <c r="CL18" i="13"/>
  <c r="CD18" i="13"/>
  <c r="CA18" i="13"/>
  <c r="CI18" i="13"/>
  <c r="CN18" i="13"/>
  <c r="CF18" i="13"/>
  <c r="BY18" i="13"/>
  <c r="BX18" i="13"/>
  <c r="CC18" i="13"/>
  <c r="CH18" i="13"/>
  <c r="BW18" i="13"/>
  <c r="CE18" i="13"/>
  <c r="CM18" i="13"/>
  <c r="CP18" i="13"/>
  <c r="CL17" i="13"/>
  <c r="CG17" i="13"/>
  <c r="CM17" i="13"/>
  <c r="BX17" i="13"/>
  <c r="CP17" i="13"/>
  <c r="CC17" i="13"/>
  <c r="CD17" i="13"/>
  <c r="CN17" i="13"/>
  <c r="BW17" i="13"/>
  <c r="CJ17" i="13"/>
  <c r="CB17" i="13"/>
  <c r="CI17" i="13"/>
  <c r="CE17" i="13"/>
  <c r="BZ17" i="13"/>
  <c r="CH17" i="13"/>
  <c r="CO17" i="13"/>
  <c r="CF17" i="13"/>
  <c r="CA17" i="13"/>
  <c r="CK17" i="13"/>
  <c r="BY17" i="13"/>
  <c r="CC40" i="13"/>
  <c r="CO40" i="13"/>
  <c r="CD40" i="13"/>
  <c r="CG40" i="13"/>
  <c r="CF40" i="13"/>
  <c r="BZ40" i="13"/>
  <c r="CP40" i="13"/>
  <c r="BY40" i="13"/>
  <c r="CM40" i="13"/>
  <c r="CJ40" i="13"/>
  <c r="CI40" i="13"/>
  <c r="CH40" i="13"/>
  <c r="CK40" i="13"/>
  <c r="BX40" i="13"/>
  <c r="CE40" i="13"/>
  <c r="CB40" i="13"/>
  <c r="BW40" i="13"/>
  <c r="CL40" i="13"/>
  <c r="CN40" i="13"/>
  <c r="CA40" i="13"/>
  <c r="R17" i="13"/>
  <c r="K17" i="13"/>
  <c r="X17" i="13"/>
  <c r="AD17" i="13"/>
  <c r="AM17" i="13"/>
  <c r="H17" i="13"/>
  <c r="AO17" i="13"/>
  <c r="V17" i="13"/>
  <c r="AB17" i="13"/>
  <c r="J17" i="13"/>
  <c r="U17" i="13"/>
  <c r="G17" i="13"/>
  <c r="AQ17" i="13"/>
  <c r="Y17" i="13"/>
  <c r="F17" i="13"/>
  <c r="AE17" i="13"/>
  <c r="AJ17" i="13"/>
  <c r="AK17" i="13"/>
  <c r="O17" i="13"/>
  <c r="AA17" i="13"/>
  <c r="S17" i="13"/>
  <c r="AR17" i="13"/>
  <c r="W17" i="13"/>
  <c r="M17" i="13"/>
  <c r="AN17" i="13"/>
  <c r="N17" i="13"/>
  <c r="AF17" i="13"/>
  <c r="T17" i="13"/>
  <c r="AG17" i="13"/>
  <c r="I17" i="13"/>
  <c r="L17" i="13"/>
  <c r="AL17" i="13"/>
  <c r="P17" i="13"/>
  <c r="AP17" i="13"/>
  <c r="AH17" i="13"/>
  <c r="Q17" i="13"/>
  <c r="Z17" i="13"/>
  <c r="AI17" i="13"/>
  <c r="AC17" i="13"/>
  <c r="AC40" i="13"/>
  <c r="V40" i="13"/>
  <c r="AD40" i="13"/>
  <c r="AM40" i="13"/>
  <c r="P40" i="13"/>
  <c r="AG40" i="13"/>
  <c r="J40" i="13"/>
  <c r="AI40" i="13"/>
  <c r="L40" i="13"/>
  <c r="M40" i="13"/>
  <c r="AB40" i="13"/>
  <c r="AK40" i="13"/>
  <c r="X40" i="13"/>
  <c r="T40" i="13"/>
  <c r="G40" i="13"/>
  <c r="F40" i="13"/>
  <c r="AP40" i="13"/>
  <c r="AF40" i="13"/>
  <c r="O40" i="13"/>
  <c r="AQ40" i="13"/>
  <c r="AE40" i="13"/>
  <c r="Y40" i="13"/>
  <c r="R40" i="13"/>
  <c r="AR40" i="13"/>
  <c r="Z40" i="13"/>
  <c r="AJ40" i="13"/>
  <c r="K40" i="13"/>
  <c r="AN40" i="13"/>
  <c r="H40" i="13"/>
  <c r="S40" i="13"/>
  <c r="AA40" i="13"/>
  <c r="AH40" i="13"/>
  <c r="I40" i="13"/>
  <c r="AL40" i="13"/>
  <c r="N40" i="13"/>
  <c r="Q40" i="13"/>
  <c r="AO40" i="13"/>
  <c r="W40" i="13"/>
  <c r="U40" i="13"/>
  <c r="G39" i="13"/>
  <c r="AG39" i="13"/>
  <c r="M39" i="13"/>
  <c r="K39" i="13"/>
  <c r="N39" i="13"/>
  <c r="F39" i="13"/>
  <c r="AP39" i="13"/>
  <c r="P39" i="13"/>
  <c r="AA39" i="13"/>
  <c r="J39" i="13"/>
  <c r="AF39" i="13"/>
  <c r="AR39" i="13"/>
  <c r="AN39" i="13"/>
  <c r="AL39" i="13"/>
  <c r="AK39" i="13"/>
  <c r="Z39" i="13"/>
  <c r="Y39" i="13"/>
  <c r="H39" i="13"/>
  <c r="AD39" i="13"/>
  <c r="S39" i="13"/>
  <c r="O39" i="13"/>
  <c r="I39" i="13"/>
  <c r="AJ39" i="13"/>
  <c r="AB39" i="13"/>
  <c r="AC39" i="13"/>
  <c r="T39" i="13"/>
  <c r="L39" i="13"/>
  <c r="W39" i="13"/>
  <c r="AE39" i="13"/>
  <c r="AI39" i="13"/>
  <c r="R39" i="13"/>
  <c r="Q39" i="13"/>
  <c r="AO39" i="13"/>
  <c r="AM39" i="13"/>
  <c r="AQ39" i="13"/>
  <c r="U39" i="13"/>
  <c r="X39" i="13"/>
  <c r="AH39" i="13"/>
  <c r="V39" i="13"/>
  <c r="AP18" i="13"/>
  <c r="R18" i="13"/>
  <c r="AD18" i="13"/>
  <c r="AL18" i="13"/>
  <c r="L18" i="13"/>
  <c r="S18" i="13"/>
  <c r="V18" i="13"/>
  <c r="T18" i="13"/>
  <c r="I18" i="13"/>
  <c r="AK18" i="13"/>
  <c r="AQ18" i="13"/>
  <c r="AH18" i="13"/>
  <c r="Q18" i="13"/>
  <c r="AN18" i="13"/>
  <c r="W18" i="13"/>
  <c r="Z18" i="13"/>
  <c r="G18" i="13"/>
  <c r="AR18" i="13"/>
  <c r="AE18" i="13"/>
  <c r="M18" i="13"/>
  <c r="AB18" i="13"/>
  <c r="AC18" i="13"/>
  <c r="U18" i="13"/>
  <c r="AI18" i="13"/>
  <c r="H18" i="13"/>
  <c r="AO18" i="13"/>
  <c r="AF18" i="13"/>
  <c r="AA18" i="13"/>
  <c r="AG18" i="13"/>
  <c r="J18" i="13"/>
  <c r="AM18" i="13"/>
  <c r="K18" i="13"/>
  <c r="F18" i="13"/>
  <c r="O18" i="13"/>
  <c r="P18" i="13"/>
  <c r="Y18" i="13"/>
  <c r="AJ18" i="13"/>
  <c r="N18" i="13"/>
  <c r="X18" i="13"/>
  <c r="BH39" i="13"/>
  <c r="BR39" i="13"/>
  <c r="AV39" i="13"/>
  <c r="BB39" i="13"/>
  <c r="BC39" i="13"/>
  <c r="BU39" i="13"/>
  <c r="BN39" i="13"/>
  <c r="AT39" i="13"/>
  <c r="AU39" i="13"/>
  <c r="BK39" i="13"/>
  <c r="BG39" i="13"/>
  <c r="BE39" i="13"/>
  <c r="BM39" i="13"/>
  <c r="AX39" i="13"/>
  <c r="BV39" i="13"/>
  <c r="BS39" i="13"/>
  <c r="BT39" i="13"/>
  <c r="AY39" i="13"/>
  <c r="BA39" i="13"/>
  <c r="BL39" i="13"/>
  <c r="BJ39" i="13"/>
  <c r="BP39" i="13"/>
  <c r="BQ39" i="13"/>
  <c r="AZ39" i="13"/>
  <c r="BF39" i="13"/>
  <c r="BO39" i="13"/>
  <c r="AS39" i="13"/>
  <c r="BD39" i="13"/>
  <c r="AW39" i="13"/>
  <c r="BI39" i="13"/>
  <c r="BB18" i="13"/>
  <c r="AU18" i="13"/>
  <c r="AX18" i="13"/>
  <c r="BG18" i="13"/>
  <c r="BA18" i="13"/>
  <c r="BC18" i="13"/>
  <c r="BF18" i="13"/>
  <c r="BS18" i="13"/>
  <c r="BJ18" i="13"/>
  <c r="BD18" i="13"/>
  <c r="BI18" i="13"/>
  <c r="BK18" i="13"/>
  <c r="AT18" i="13"/>
  <c r="BM18" i="13"/>
  <c r="BH18" i="13"/>
  <c r="AS18" i="13"/>
  <c r="BU18" i="13"/>
  <c r="AZ18" i="13"/>
  <c r="AW18" i="13"/>
  <c r="BR18" i="13"/>
  <c r="BN18" i="13"/>
  <c r="BO18" i="13"/>
  <c r="BV18" i="13"/>
  <c r="BP18" i="13"/>
  <c r="BQ18" i="13"/>
  <c r="BL18" i="13"/>
  <c r="AV18" i="13"/>
  <c r="BT18" i="13"/>
  <c r="AY18" i="13"/>
  <c r="BE18" i="13"/>
  <c r="BO17" i="13"/>
  <c r="BK17" i="13"/>
  <c r="AW17" i="13"/>
  <c r="BQ17" i="13"/>
  <c r="BH17" i="13"/>
  <c r="BM17" i="13"/>
  <c r="BD17" i="13"/>
  <c r="AS17" i="13"/>
  <c r="BP17" i="13"/>
  <c r="BL17" i="13"/>
  <c r="AV17" i="13"/>
  <c r="BS17" i="13"/>
  <c r="BG17" i="13"/>
  <c r="AX17" i="13"/>
  <c r="BE17" i="13"/>
  <c r="BT17" i="13"/>
  <c r="BR17" i="13"/>
  <c r="BI17" i="13"/>
  <c r="BA17" i="13"/>
  <c r="AU17" i="13"/>
  <c r="BV17" i="13"/>
  <c r="BU17" i="13"/>
  <c r="BN17" i="13"/>
  <c r="AY17" i="13"/>
  <c r="BB17" i="13"/>
  <c r="AZ17" i="13"/>
  <c r="BJ17" i="13"/>
  <c r="BC17" i="13"/>
  <c r="BF17" i="13"/>
  <c r="AT17" i="13"/>
  <c r="AS40" i="13"/>
  <c r="BU40" i="13"/>
  <c r="BB40" i="13"/>
  <c r="BO40" i="13"/>
  <c r="BL40" i="13"/>
  <c r="BQ40" i="13"/>
  <c r="BM40" i="13"/>
  <c r="AW40" i="13"/>
  <c r="BA40" i="13"/>
  <c r="BD40" i="13"/>
  <c r="AU40" i="13"/>
  <c r="AT40" i="13"/>
  <c r="BS40" i="13"/>
  <c r="BJ40" i="13"/>
  <c r="BC40" i="13"/>
  <c r="BN40" i="13"/>
  <c r="BV40" i="13"/>
  <c r="BR40" i="13"/>
  <c r="BP40" i="13"/>
  <c r="AY40" i="13"/>
  <c r="AZ40" i="13"/>
  <c r="BF40" i="13"/>
  <c r="BE40" i="13"/>
  <c r="BI40" i="13"/>
  <c r="AX40" i="13"/>
  <c r="AV40" i="13"/>
  <c r="BK40" i="13"/>
  <c r="BG40" i="13"/>
  <c r="BT40" i="13"/>
  <c r="BH40" i="13"/>
  <c r="L122" i="7"/>
  <c r="B72" i="7"/>
  <c r="K72" i="7"/>
  <c r="K73" i="7"/>
  <c r="K121" i="7"/>
  <c r="L122" i="12"/>
  <c r="B72" i="12"/>
  <c r="K72" i="12"/>
  <c r="K73" i="12"/>
  <c r="K121" i="12"/>
  <c r="CY25" i="13"/>
  <c r="CZ59" i="13"/>
  <c r="CY59" i="13"/>
  <c r="CW59" i="13"/>
  <c r="DA25" i="13"/>
  <c r="CW25" i="13"/>
  <c r="CX59" i="13"/>
  <c r="DA59" i="13"/>
  <c r="CZ25" i="13"/>
  <c r="CX25" i="13"/>
  <c r="CW65" i="13"/>
  <c r="CZ31" i="13"/>
  <c r="CY31" i="13"/>
  <c r="CX31" i="13"/>
  <c r="CW31" i="13"/>
  <c r="CX65" i="13"/>
  <c r="DA65" i="13"/>
  <c r="DA31" i="13"/>
  <c r="CZ65" i="13"/>
  <c r="CY65" i="13"/>
  <c r="CY13" i="13"/>
  <c r="CX13" i="13"/>
  <c r="D13" i="13"/>
  <c r="CQ13" i="13"/>
  <c r="CT13" i="13"/>
  <c r="DA13" i="13"/>
  <c r="CU13" i="13"/>
  <c r="CS13" i="13"/>
  <c r="CZ13" i="13"/>
  <c r="CR13" i="13"/>
  <c r="CW13" i="13"/>
  <c r="CV13" i="13"/>
  <c r="CT3" i="13"/>
  <c r="CU3" i="13"/>
  <c r="D3" i="13"/>
  <c r="CR3" i="13"/>
  <c r="CS3" i="13"/>
  <c r="CQ3" i="13"/>
  <c r="CY3" i="13"/>
  <c r="CX3" i="13"/>
  <c r="CZ3" i="13"/>
  <c r="DA3" i="13"/>
  <c r="CV3" i="13"/>
  <c r="CW3" i="13"/>
  <c r="CV9" i="13"/>
  <c r="CX9" i="13"/>
  <c r="CU9" i="13"/>
  <c r="CZ9" i="13"/>
  <c r="CY9" i="13"/>
  <c r="D9" i="13"/>
  <c r="CR9" i="13"/>
  <c r="CW9" i="13"/>
  <c r="CS9" i="13"/>
  <c r="CT9" i="13"/>
  <c r="CQ9" i="13"/>
  <c r="DA9" i="13"/>
  <c r="DA35" i="13"/>
  <c r="CX35" i="13"/>
  <c r="CZ35" i="13"/>
  <c r="CW69" i="13"/>
  <c r="CX69" i="13"/>
  <c r="DA69" i="13"/>
  <c r="CZ69" i="13"/>
  <c r="CY35" i="13"/>
  <c r="CY69" i="13"/>
  <c r="CW35" i="13"/>
  <c r="L121" i="12"/>
  <c r="L72" i="12"/>
  <c r="L67" i="12"/>
  <c r="L120" i="12"/>
  <c r="L71" i="12"/>
  <c r="L121" i="7"/>
  <c r="L72" i="7"/>
  <c r="L120" i="7"/>
  <c r="L71" i="7"/>
  <c r="L67" i="7"/>
  <c r="L33" i="7"/>
  <c r="L33" i="12"/>
  <c r="L70" i="7"/>
  <c r="L73" i="7"/>
  <c r="L123" i="7"/>
  <c r="L74" i="7"/>
  <c r="I73" i="7"/>
  <c r="I62" i="1"/>
  <c r="K111" i="8"/>
  <c r="E7" i="13"/>
  <c r="E15" i="13"/>
  <c r="L62" i="7"/>
  <c r="C80" i="9"/>
  <c r="C84" i="9"/>
  <c r="B87" i="9"/>
  <c r="D87" i="9"/>
  <c r="C87" i="9"/>
  <c r="B80" i="9"/>
  <c r="B84" i="9"/>
  <c r="D80" i="9"/>
  <c r="D84" i="9"/>
  <c r="D7" i="13"/>
  <c r="B15" i="13"/>
  <c r="B12" i="13"/>
  <c r="B9" i="13"/>
  <c r="B5" i="13"/>
  <c r="C10" i="13"/>
  <c r="D11" i="13"/>
  <c r="B14" i="13"/>
  <c r="B11" i="13"/>
  <c r="B8" i="13"/>
  <c r="B4" i="13"/>
  <c r="C6" i="13"/>
  <c r="C15" i="13"/>
  <c r="C12" i="13"/>
  <c r="C9" i="13"/>
  <c r="CS15" i="13"/>
  <c r="CW15" i="13"/>
  <c r="CV15" i="13"/>
  <c r="CU15" i="13"/>
  <c r="CZ15" i="13"/>
  <c r="CY15" i="13"/>
  <c r="D15" i="13"/>
  <c r="CQ15" i="13"/>
  <c r="CX15" i="13"/>
  <c r="CT15" i="13"/>
  <c r="CR15" i="13"/>
  <c r="DA15" i="13"/>
  <c r="DA63" i="13"/>
  <c r="CY63" i="13"/>
  <c r="CW63" i="13"/>
  <c r="CZ29" i="13"/>
  <c r="CY29" i="13"/>
  <c r="CX63" i="13"/>
  <c r="CX29" i="13"/>
  <c r="CZ63" i="13"/>
  <c r="DA29" i="13"/>
  <c r="CW29" i="13"/>
  <c r="CQ46" i="13"/>
  <c r="CS46" i="13"/>
  <c r="CJ46" i="13"/>
  <c r="CN46" i="13"/>
  <c r="CM46" i="13"/>
  <c r="CI46" i="13"/>
  <c r="CV46" i="13"/>
  <c r="CT46" i="13"/>
  <c r="CH46" i="13"/>
  <c r="CO46" i="13"/>
  <c r="CP46" i="13"/>
  <c r="CL46" i="13"/>
  <c r="CU46" i="13"/>
  <c r="CK46" i="13"/>
  <c r="E11" i="13"/>
  <c r="K111" i="1"/>
  <c r="B7" i="13"/>
  <c r="C5" i="13"/>
  <c r="C14" i="13"/>
  <c r="C11" i="13"/>
  <c r="C8" i="13"/>
  <c r="D6" i="13"/>
  <c r="B10" i="13"/>
  <c r="B6" i="13"/>
  <c r="C4" i="13"/>
  <c r="C7" i="13"/>
  <c r="D111" i="12"/>
  <c r="D32" i="12"/>
  <c r="D34" i="12"/>
  <c r="D111" i="1"/>
  <c r="D32" i="1"/>
  <c r="D34" i="1"/>
  <c r="DA37" i="13"/>
  <c r="CM54" i="13"/>
  <c r="CY71" i="13"/>
  <c r="CV54" i="13"/>
  <c r="CY37" i="13"/>
  <c r="CZ71" i="13"/>
  <c r="CJ54" i="13"/>
  <c r="CL54" i="13"/>
  <c r="DA71" i="13"/>
  <c r="CX37" i="13"/>
  <c r="CS54" i="13"/>
  <c r="CK54" i="13"/>
  <c r="CX71" i="13"/>
  <c r="CH54" i="13"/>
  <c r="CZ37" i="13"/>
  <c r="CU54" i="13"/>
  <c r="CI54" i="13"/>
  <c r="CW71" i="13"/>
  <c r="CP54" i="13"/>
  <c r="CO54" i="13"/>
  <c r="CN54" i="13"/>
  <c r="CT54" i="13"/>
  <c r="CQ54" i="13"/>
  <c r="CW37" i="13"/>
  <c r="CT7" i="13"/>
  <c r="CV7" i="13"/>
  <c r="CW7" i="13"/>
  <c r="CY7" i="13"/>
  <c r="CX7" i="13"/>
  <c r="CZ7" i="13"/>
  <c r="CU7" i="13"/>
  <c r="CQ7" i="13"/>
  <c r="CS7" i="13"/>
  <c r="CR7" i="13"/>
  <c r="DA7" i="13"/>
  <c r="I67" i="7"/>
  <c r="S23" i="7"/>
  <c r="S23" i="8"/>
  <c r="D111" i="8"/>
  <c r="D32" i="8"/>
  <c r="D34" i="8"/>
  <c r="L122" i="8"/>
  <c r="BU7" i="13"/>
  <c r="BO7" i="13"/>
  <c r="BH7" i="13"/>
  <c r="BF7" i="13"/>
  <c r="BE7" i="13"/>
  <c r="BM7" i="13"/>
  <c r="AZ7" i="13"/>
  <c r="BD7" i="13"/>
  <c r="AU7" i="13"/>
  <c r="BN7" i="13"/>
  <c r="AW7" i="13"/>
  <c r="BR7" i="13"/>
  <c r="AT7" i="13"/>
  <c r="BT7" i="13"/>
  <c r="AX7" i="13"/>
  <c r="BJ7" i="13"/>
  <c r="BA7" i="13"/>
  <c r="BK7" i="13"/>
  <c r="BP7" i="13"/>
  <c r="AS7" i="13"/>
  <c r="AV7" i="13"/>
  <c r="BC7" i="13"/>
  <c r="BG7" i="13"/>
  <c r="BI7" i="13"/>
  <c r="AY7" i="13"/>
  <c r="BS7" i="13"/>
  <c r="BQ7" i="13"/>
  <c r="BB7" i="13"/>
  <c r="BL7" i="13"/>
  <c r="BV7" i="13"/>
  <c r="W28" i="13"/>
  <c r="BD28" i="13"/>
  <c r="Q28" i="13"/>
  <c r="AP28" i="13"/>
  <c r="N28" i="13"/>
  <c r="AR28" i="13"/>
  <c r="AS28" i="13"/>
  <c r="AB28" i="13"/>
  <c r="AM28" i="13"/>
  <c r="S28" i="13"/>
  <c r="Z28" i="13"/>
  <c r="U28" i="13"/>
  <c r="BB28" i="13"/>
  <c r="AL28" i="13"/>
  <c r="AO28" i="13"/>
  <c r="Y28" i="13"/>
  <c r="V28" i="13"/>
  <c r="AG28" i="13"/>
  <c r="AE28" i="13"/>
  <c r="AX28" i="13"/>
  <c r="AA28" i="13"/>
  <c r="H28" i="13"/>
  <c r="AH28" i="13"/>
  <c r="M28" i="13"/>
  <c r="AV28" i="13"/>
  <c r="G28" i="13"/>
  <c r="BG28" i="13"/>
  <c r="AI28" i="13"/>
  <c r="T28" i="13"/>
  <c r="AW28" i="13"/>
  <c r="J28" i="13"/>
  <c r="AC28" i="13"/>
  <c r="AY28" i="13"/>
  <c r="AJ28" i="13"/>
  <c r="AU28" i="13"/>
  <c r="BH28" i="13"/>
  <c r="X28" i="13"/>
  <c r="I28" i="13"/>
  <c r="AF28" i="13"/>
  <c r="AT28" i="13"/>
  <c r="AN28" i="13"/>
  <c r="R28" i="13"/>
  <c r="BA28" i="13"/>
  <c r="F28" i="13"/>
  <c r="BF28" i="13"/>
  <c r="L28" i="13"/>
  <c r="AZ28" i="13"/>
  <c r="AD28" i="13"/>
  <c r="P28" i="13"/>
  <c r="BE28" i="13"/>
  <c r="O28" i="13"/>
  <c r="AQ28" i="13"/>
  <c r="K28" i="13"/>
  <c r="AK28" i="13"/>
  <c r="BC28" i="13"/>
  <c r="B13" i="13"/>
  <c r="CC49" i="13"/>
  <c r="BN49" i="13"/>
  <c r="CQ32" i="13"/>
  <c r="BI49" i="13"/>
  <c r="CV32" i="13"/>
  <c r="CS32" i="13"/>
  <c r="CP49" i="13"/>
  <c r="BW49" i="13"/>
  <c r="CF49" i="13"/>
  <c r="BJ49" i="13"/>
  <c r="CK32" i="13"/>
  <c r="CQ49" i="13"/>
  <c r="CJ49" i="13"/>
  <c r="CH49" i="13"/>
  <c r="CS49" i="13"/>
  <c r="CH66" i="13"/>
  <c r="CA49" i="13"/>
  <c r="BX49" i="13"/>
  <c r="BT49" i="13"/>
  <c r="CU49" i="13"/>
  <c r="CU66" i="13"/>
  <c r="CO49" i="13"/>
  <c r="CU32" i="13"/>
  <c r="BP49" i="13"/>
  <c r="CI32" i="13"/>
  <c r="CN32" i="13"/>
  <c r="CQ66" i="13"/>
  <c r="CJ66" i="13"/>
  <c r="BO49" i="13"/>
  <c r="BK49" i="13"/>
  <c r="CB49" i="13"/>
  <c r="CE49" i="13"/>
  <c r="BV49" i="13"/>
  <c r="CT32" i="13"/>
  <c r="CG49" i="13"/>
  <c r="BQ49" i="13"/>
  <c r="CH32" i="13"/>
  <c r="CO66" i="13"/>
  <c r="CO32" i="13"/>
  <c r="BL49" i="13"/>
  <c r="CP32" i="13"/>
  <c r="CM32" i="13"/>
  <c r="CT49" i="13"/>
  <c r="CN49" i="13"/>
  <c r="CI49" i="13"/>
  <c r="CK49" i="13"/>
  <c r="CV49" i="13"/>
  <c r="CM49" i="13"/>
  <c r="CL49" i="13"/>
  <c r="CL32" i="13"/>
  <c r="CD49" i="13"/>
  <c r="BZ49" i="13"/>
  <c r="BM49" i="13"/>
  <c r="BS49" i="13"/>
  <c r="CP66" i="13"/>
  <c r="CJ32" i="13"/>
  <c r="BR49" i="13"/>
  <c r="BY49" i="13"/>
  <c r="CR32" i="13"/>
  <c r="CS66" i="13"/>
  <c r="CT66" i="13"/>
  <c r="CN66" i="13"/>
  <c r="CI66" i="13"/>
  <c r="CK66" i="13"/>
  <c r="CV66" i="13"/>
  <c r="CR66" i="13"/>
  <c r="CM66" i="13"/>
  <c r="CL66" i="13"/>
  <c r="AY11" i="13"/>
  <c r="AT11" i="13"/>
  <c r="BB11" i="13"/>
  <c r="BT11" i="13"/>
  <c r="BG11" i="13"/>
  <c r="BC11" i="13"/>
  <c r="BH11" i="13"/>
  <c r="AV11" i="13"/>
  <c r="BN11" i="13"/>
  <c r="BQ11" i="13"/>
  <c r="BO11" i="13"/>
  <c r="BR11" i="13"/>
  <c r="BF11" i="13"/>
  <c r="BK11" i="13"/>
  <c r="AS11" i="13"/>
  <c r="BP11" i="13"/>
  <c r="AU11" i="13"/>
  <c r="BV11" i="13"/>
  <c r="AZ11" i="13"/>
  <c r="BA11" i="13"/>
  <c r="BU11" i="13"/>
  <c r="BI11" i="13"/>
  <c r="BL11" i="13"/>
  <c r="BJ11" i="13"/>
  <c r="AW11" i="13"/>
  <c r="BS11" i="13"/>
  <c r="BM11" i="13"/>
  <c r="BD11" i="13"/>
  <c r="BE11" i="13"/>
  <c r="AX11" i="13"/>
  <c r="AX14" i="13"/>
  <c r="BH14" i="13"/>
  <c r="BN14" i="13"/>
  <c r="BO14" i="13"/>
  <c r="AV14" i="13"/>
  <c r="BA14" i="13"/>
  <c r="BI14" i="13"/>
  <c r="AS14" i="13"/>
  <c r="BK14" i="13"/>
  <c r="BL14" i="13"/>
  <c r="BE14" i="13"/>
  <c r="AY14" i="13"/>
  <c r="AW14" i="13"/>
  <c r="AZ14" i="13"/>
  <c r="BQ14" i="13"/>
  <c r="BB14" i="13"/>
  <c r="BR14" i="13"/>
  <c r="BM14" i="13"/>
  <c r="AT14" i="13"/>
  <c r="BT14" i="13"/>
  <c r="BP14" i="13"/>
  <c r="BJ14" i="13"/>
  <c r="BU14" i="13"/>
  <c r="BC14" i="13"/>
  <c r="AU14" i="13"/>
  <c r="BG14" i="13"/>
  <c r="BD14" i="13"/>
  <c r="BV14" i="13"/>
  <c r="BF14" i="13"/>
  <c r="BS14" i="13"/>
  <c r="BO27" i="13"/>
  <c r="CC27" i="13"/>
  <c r="AI44" i="13"/>
  <c r="BR27" i="13"/>
  <c r="BV27" i="13"/>
  <c r="CD27" i="13"/>
  <c r="AK44" i="13"/>
  <c r="BL27" i="13"/>
  <c r="AX44" i="13"/>
  <c r="AA44" i="13"/>
  <c r="BB44" i="13"/>
  <c r="AN44" i="13"/>
  <c r="AH44" i="13"/>
  <c r="CA27" i="13"/>
  <c r="BS27" i="13"/>
  <c r="AT44" i="13"/>
  <c r="BF44" i="13"/>
  <c r="BP27" i="13"/>
  <c r="AW44" i="13"/>
  <c r="AE44" i="13"/>
  <c r="BK27" i="13"/>
  <c r="BH44" i="13"/>
  <c r="BX27" i="13"/>
  <c r="BN27" i="13"/>
  <c r="CG27" i="13"/>
  <c r="BE44" i="13"/>
  <c r="CB27" i="13"/>
  <c r="AG44" i="13"/>
  <c r="AS44" i="13"/>
  <c r="AF44" i="13"/>
  <c r="AQ44" i="13"/>
  <c r="AV44" i="13"/>
  <c r="AR44" i="13"/>
  <c r="BW27" i="13"/>
  <c r="AM44" i="13"/>
  <c r="BC44" i="13"/>
  <c r="BA44" i="13"/>
  <c r="AU44" i="13"/>
  <c r="BD44" i="13"/>
  <c r="BQ27" i="13"/>
  <c r="CF27" i="13"/>
  <c r="BZ27" i="13"/>
  <c r="AP44" i="13"/>
  <c r="CE27" i="13"/>
  <c r="BU27" i="13"/>
  <c r="AY44" i="13"/>
  <c r="AO44" i="13"/>
  <c r="Z44" i="13"/>
  <c r="AC44" i="13"/>
  <c r="BJ27" i="13"/>
  <c r="AL44" i="13"/>
  <c r="AB44" i="13"/>
  <c r="BT27" i="13"/>
  <c r="BI27" i="13"/>
  <c r="AZ44" i="13"/>
  <c r="BM27" i="13"/>
  <c r="AJ44" i="13"/>
  <c r="BG44" i="13"/>
  <c r="BY27" i="13"/>
  <c r="Q7" i="13"/>
  <c r="Q63" i="13"/>
  <c r="M7" i="13"/>
  <c r="M63" i="13"/>
  <c r="AN7" i="13"/>
  <c r="X7" i="13"/>
  <c r="X63" i="13"/>
  <c r="G7" i="13"/>
  <c r="G63" i="13"/>
  <c r="Z7" i="13"/>
  <c r="V7" i="13"/>
  <c r="V63" i="13"/>
  <c r="O7" i="13"/>
  <c r="O63" i="13"/>
  <c r="AH7" i="13"/>
  <c r="AA7" i="13"/>
  <c r="AG7" i="13"/>
  <c r="T7" i="13"/>
  <c r="T63" i="13"/>
  <c r="AJ7" i="13"/>
  <c r="AC7" i="13"/>
  <c r="K7" i="13"/>
  <c r="K63" i="13"/>
  <c r="AP7" i="13"/>
  <c r="AO7" i="13"/>
  <c r="AB7" i="13"/>
  <c r="U7" i="13"/>
  <c r="U63" i="13"/>
  <c r="W7" i="13"/>
  <c r="W63" i="13"/>
  <c r="AD7" i="13"/>
  <c r="R7" i="13"/>
  <c r="R63" i="13"/>
  <c r="H7" i="13"/>
  <c r="H63" i="13"/>
  <c r="AR7" i="13"/>
  <c r="AF7" i="13"/>
  <c r="AQ7" i="13"/>
  <c r="P7" i="13"/>
  <c r="P63" i="13"/>
  <c r="AI7" i="13"/>
  <c r="I7" i="13"/>
  <c r="I63" i="13"/>
  <c r="L7" i="13"/>
  <c r="L63" i="13"/>
  <c r="J7" i="13"/>
  <c r="J63" i="13"/>
  <c r="AM7" i="13"/>
  <c r="N7" i="13"/>
  <c r="N63" i="13"/>
  <c r="F7" i="13"/>
  <c r="F63" i="13"/>
  <c r="Y7" i="13"/>
  <c r="Y63" i="13"/>
  <c r="AL7" i="13"/>
  <c r="S7" i="13"/>
  <c r="S63" i="13"/>
  <c r="AK7" i="13"/>
  <c r="AE7" i="13"/>
  <c r="CC5" i="13"/>
  <c r="CD5" i="13"/>
  <c r="CO5" i="13"/>
  <c r="BW5" i="13"/>
  <c r="CP5" i="13"/>
  <c r="CL5" i="13"/>
  <c r="CA5" i="13"/>
  <c r="CH5" i="13"/>
  <c r="CF5" i="13"/>
  <c r="CM5" i="13"/>
  <c r="BZ5" i="13"/>
  <c r="CN5" i="13"/>
  <c r="BY5" i="13"/>
  <c r="CI5" i="13"/>
  <c r="CK5" i="13"/>
  <c r="CB5" i="13"/>
  <c r="CG5" i="13"/>
  <c r="BX5" i="13"/>
  <c r="CJ5" i="13"/>
  <c r="CE5" i="13"/>
  <c r="BP48" i="13"/>
  <c r="CB48" i="13"/>
  <c r="BQ48" i="13"/>
  <c r="BJ48" i="13"/>
  <c r="BX48" i="13"/>
  <c r="BS48" i="13"/>
  <c r="BO48" i="13"/>
  <c r="BN48" i="13"/>
  <c r="CE48" i="13"/>
  <c r="BY48" i="13"/>
  <c r="BZ48" i="13"/>
  <c r="BL48" i="13"/>
  <c r="CA48" i="13"/>
  <c r="CC48" i="13"/>
  <c r="BR48" i="13"/>
  <c r="BM48" i="13"/>
  <c r="BT48" i="13"/>
  <c r="CD48" i="13"/>
  <c r="BW48" i="13"/>
  <c r="CG48" i="13"/>
  <c r="BK48" i="13"/>
  <c r="CF48" i="13"/>
  <c r="BV48" i="13"/>
  <c r="CU48" i="13"/>
  <c r="CU65" i="13"/>
  <c r="CN48" i="13"/>
  <c r="CL31" i="13"/>
  <c r="CL48" i="13"/>
  <c r="CK48" i="13"/>
  <c r="CK65" i="13"/>
  <c r="CK31" i="13"/>
  <c r="CT48" i="13"/>
  <c r="CT65" i="13"/>
  <c r="CS31" i="13"/>
  <c r="CV48" i="13"/>
  <c r="CV65" i="13"/>
  <c r="CI48" i="13"/>
  <c r="CH31" i="13"/>
  <c r="CM48" i="13"/>
  <c r="CR65" i="13"/>
  <c r="CU31" i="13"/>
  <c r="CP48" i="13"/>
  <c r="CP65" i="13"/>
  <c r="CS48" i="13"/>
  <c r="CM31" i="13"/>
  <c r="CJ48" i="13"/>
  <c r="CQ48" i="13"/>
  <c r="CV31" i="13"/>
  <c r="CN65" i="13"/>
  <c r="CJ31" i="13"/>
  <c r="CL65" i="13"/>
  <c r="CO31" i="13"/>
  <c r="CQ31" i="13"/>
  <c r="CI65" i="13"/>
  <c r="CI31" i="13"/>
  <c r="CM65" i="13"/>
  <c r="CP31" i="13"/>
  <c r="CS65" i="13"/>
  <c r="CR31" i="13"/>
  <c r="CJ65" i="13"/>
  <c r="CN31" i="13"/>
  <c r="CO48" i="13"/>
  <c r="CO65" i="13"/>
  <c r="CH48" i="13"/>
  <c r="CQ65" i="13"/>
  <c r="CT31" i="13"/>
  <c r="CH65" i="13"/>
  <c r="CL51" i="13"/>
  <c r="CN51" i="13"/>
  <c r="CJ34" i="13"/>
  <c r="CP34" i="13"/>
  <c r="CH51" i="13"/>
  <c r="CJ51" i="13"/>
  <c r="CT51" i="13"/>
  <c r="CU51" i="13"/>
  <c r="CO51" i="13"/>
  <c r="CO68" i="13"/>
  <c r="CL34" i="13"/>
  <c r="CL68" i="13"/>
  <c r="CK51" i="13"/>
  <c r="CK68" i="13"/>
  <c r="CV51" i="13"/>
  <c r="CS51" i="13"/>
  <c r="CS68" i="13"/>
  <c r="CP51" i="13"/>
  <c r="CU34" i="13"/>
  <c r="CV34" i="13"/>
  <c r="CJ68" i="13"/>
  <c r="CT68" i="13"/>
  <c r="CR68" i="13"/>
  <c r="CI51" i="13"/>
  <c r="CI68" i="13"/>
  <c r="CH34" i="13"/>
  <c r="CK34" i="13"/>
  <c r="CM51" i="13"/>
  <c r="CN34" i="13"/>
  <c r="CO34" i="13"/>
  <c r="CV68" i="13"/>
  <c r="CP68" i="13"/>
  <c r="CS34" i="13"/>
  <c r="CT34" i="13"/>
  <c r="CU68" i="13"/>
  <c r="CQ51" i="13"/>
  <c r="CQ68" i="13"/>
  <c r="CI34" i="13"/>
  <c r="CR34" i="13"/>
  <c r="CN68" i="13"/>
  <c r="CM68" i="13"/>
  <c r="CQ34" i="13"/>
  <c r="CM34" i="13"/>
  <c r="CH68" i="13"/>
  <c r="CF51" i="13"/>
  <c r="CD51" i="13"/>
  <c r="BT51" i="13"/>
  <c r="BN51" i="13"/>
  <c r="CE51" i="13"/>
  <c r="BR51" i="13"/>
  <c r="CB51" i="13"/>
  <c r="BJ51" i="13"/>
  <c r="BO51" i="13"/>
  <c r="BM51" i="13"/>
  <c r="BP51" i="13"/>
  <c r="BZ51" i="13"/>
  <c r="BI51" i="13"/>
  <c r="BS51" i="13"/>
  <c r="BV51" i="13"/>
  <c r="BW51" i="13"/>
  <c r="CC51" i="13"/>
  <c r="CG51" i="13"/>
  <c r="BX51" i="13"/>
  <c r="BL51" i="13"/>
  <c r="BQ51" i="13"/>
  <c r="BK51" i="13"/>
  <c r="BY51" i="13"/>
  <c r="CA51" i="13"/>
  <c r="CM15" i="13"/>
  <c r="BX15" i="13"/>
  <c r="CE15" i="13"/>
  <c r="CJ15" i="13"/>
  <c r="CC15" i="13"/>
  <c r="CD15" i="13"/>
  <c r="CI15" i="13"/>
  <c r="CL15" i="13"/>
  <c r="CH15" i="13"/>
  <c r="BY15" i="13"/>
  <c r="CB15" i="13"/>
  <c r="CF15" i="13"/>
  <c r="BZ15" i="13"/>
  <c r="CG15" i="13"/>
  <c r="CO15" i="13"/>
  <c r="BW15" i="13"/>
  <c r="CK15" i="13"/>
  <c r="CA15" i="13"/>
  <c r="CP15" i="13"/>
  <c r="CN15" i="13"/>
  <c r="CQ11" i="13"/>
  <c r="CY11" i="13"/>
  <c r="CV11" i="13"/>
  <c r="DA11" i="13"/>
  <c r="CX11" i="13"/>
  <c r="CU11" i="13"/>
  <c r="CZ11" i="13"/>
  <c r="CT11" i="13"/>
  <c r="CW11" i="13"/>
  <c r="CR11" i="13"/>
  <c r="CS11" i="13"/>
  <c r="I73" i="12"/>
  <c r="I67" i="12"/>
  <c r="AA46" i="13"/>
  <c r="AZ46" i="13"/>
  <c r="BB46" i="13"/>
  <c r="AW46" i="13"/>
  <c r="AI46" i="13"/>
  <c r="AX46" i="13"/>
  <c r="BC46" i="13"/>
  <c r="AN46" i="13"/>
  <c r="BD46" i="13"/>
  <c r="BH46" i="13"/>
  <c r="AS46" i="13"/>
  <c r="AF46" i="13"/>
  <c r="AP46" i="13"/>
  <c r="BF46" i="13"/>
  <c r="AE46" i="13"/>
  <c r="AG46" i="13"/>
  <c r="BE46" i="13"/>
  <c r="AY46" i="13"/>
  <c r="BA46" i="13"/>
  <c r="AO46" i="13"/>
  <c r="AU46" i="13"/>
  <c r="AC46" i="13"/>
  <c r="AQ46" i="13"/>
  <c r="Z46" i="13"/>
  <c r="AB46" i="13"/>
  <c r="AH46" i="13"/>
  <c r="AM46" i="13"/>
  <c r="AT46" i="13"/>
  <c r="AL46" i="13"/>
  <c r="BG46" i="13"/>
  <c r="AJ46" i="13"/>
  <c r="AV46" i="13"/>
  <c r="AR46" i="13"/>
  <c r="AK46" i="13"/>
  <c r="BQ29" i="13"/>
  <c r="BN29" i="13"/>
  <c r="BM29" i="13"/>
  <c r="CB29" i="13"/>
  <c r="BR29" i="13"/>
  <c r="CE29" i="13"/>
  <c r="BY29" i="13"/>
  <c r="BX29" i="13"/>
  <c r="BO29" i="13"/>
  <c r="BJ29" i="13"/>
  <c r="BP29" i="13"/>
  <c r="BL29" i="13"/>
  <c r="BV29" i="13"/>
  <c r="BK29" i="13"/>
  <c r="BI29" i="13"/>
  <c r="BT29" i="13"/>
  <c r="BZ29" i="13"/>
  <c r="CC29" i="13"/>
  <c r="BW29" i="13"/>
  <c r="CF29" i="13"/>
  <c r="BS29" i="13"/>
  <c r="CG29" i="13"/>
  <c r="CA29" i="13"/>
  <c r="BU29" i="13"/>
  <c r="CD29" i="13"/>
  <c r="AT4" i="13"/>
  <c r="AS4" i="13"/>
  <c r="BD4" i="13"/>
  <c r="BU4" i="13"/>
  <c r="AU4" i="13"/>
  <c r="BQ4" i="13"/>
  <c r="BL4" i="13"/>
  <c r="BB4" i="13"/>
  <c r="BS4" i="13"/>
  <c r="BC4" i="13"/>
  <c r="BE4" i="13"/>
  <c r="BR4" i="13"/>
  <c r="AW4" i="13"/>
  <c r="BO4" i="13"/>
  <c r="BV4" i="13"/>
  <c r="AZ4" i="13"/>
  <c r="BH4" i="13"/>
  <c r="BN4" i="13"/>
  <c r="BT4" i="13"/>
  <c r="AV4" i="13"/>
  <c r="BG4" i="13"/>
  <c r="BM4" i="13"/>
  <c r="BP4" i="13"/>
  <c r="BK4" i="13"/>
  <c r="BJ4" i="13"/>
  <c r="AX4" i="13"/>
  <c r="BI4" i="13"/>
  <c r="BA4" i="13"/>
  <c r="BF4" i="13"/>
  <c r="AY4" i="13"/>
  <c r="F6" i="13"/>
  <c r="F62" i="13"/>
  <c r="U6" i="13"/>
  <c r="U62" i="13"/>
  <c r="R6" i="13"/>
  <c r="R62" i="13"/>
  <c r="E6" i="13"/>
  <c r="AJ6" i="13"/>
  <c r="AG6" i="13"/>
  <c r="K6" i="13"/>
  <c r="K62" i="13"/>
  <c r="I6" i="13"/>
  <c r="I62" i="13"/>
  <c r="AA6" i="13"/>
  <c r="AP6" i="13"/>
  <c r="H6" i="13"/>
  <c r="H62" i="13"/>
  <c r="AK6" i="13"/>
  <c r="AO6" i="13"/>
  <c r="T6" i="13"/>
  <c r="T62" i="13"/>
  <c r="AQ6" i="13"/>
  <c r="AI6" i="13"/>
  <c r="AR6" i="13"/>
  <c r="W6" i="13"/>
  <c r="W62" i="13"/>
  <c r="AC6" i="13"/>
  <c r="AL6" i="13"/>
  <c r="AF6" i="13"/>
  <c r="G6" i="13"/>
  <c r="G62" i="13"/>
  <c r="M6" i="13"/>
  <c r="M62" i="13"/>
  <c r="J6" i="13"/>
  <c r="J62" i="13"/>
  <c r="AN6" i="13"/>
  <c r="O6" i="13"/>
  <c r="O62" i="13"/>
  <c r="P6" i="13"/>
  <c r="P62" i="13"/>
  <c r="V6" i="13"/>
  <c r="V62" i="13"/>
  <c r="AM6" i="13"/>
  <c r="AH6" i="13"/>
  <c r="X6" i="13"/>
  <c r="X62" i="13"/>
  <c r="N6" i="13"/>
  <c r="N62" i="13"/>
  <c r="AE6" i="13"/>
  <c r="Z6" i="13"/>
  <c r="AB6" i="13"/>
  <c r="L6" i="13"/>
  <c r="L62" i="13"/>
  <c r="Q6" i="13"/>
  <c r="Q62" i="13"/>
  <c r="AD6" i="13"/>
  <c r="Y6" i="13"/>
  <c r="Y62" i="13"/>
  <c r="S6" i="13"/>
  <c r="S62" i="13"/>
  <c r="W32" i="13"/>
  <c r="P32" i="13"/>
  <c r="AA32" i="13"/>
  <c r="AZ32" i="13"/>
  <c r="BH32" i="13"/>
  <c r="G32" i="13"/>
  <c r="Z32" i="13"/>
  <c r="AV32" i="13"/>
  <c r="I32" i="13"/>
  <c r="AH32" i="13"/>
  <c r="AL32" i="13"/>
  <c r="AR32" i="13"/>
  <c r="O32" i="13"/>
  <c r="AO32" i="13"/>
  <c r="AW32" i="13"/>
  <c r="AN32" i="13"/>
  <c r="AE32" i="13"/>
  <c r="J32" i="13"/>
  <c r="AQ32" i="13"/>
  <c r="BB32" i="13"/>
  <c r="AT32" i="13"/>
  <c r="K32" i="13"/>
  <c r="Q32" i="13"/>
  <c r="AB32" i="13"/>
  <c r="L32" i="13"/>
  <c r="AI32" i="13"/>
  <c r="V32" i="13"/>
  <c r="BC32" i="13"/>
  <c r="AP32" i="13"/>
  <c r="AS32" i="13"/>
  <c r="X32" i="13"/>
  <c r="AD32" i="13"/>
  <c r="AU32" i="13"/>
  <c r="M32" i="13"/>
  <c r="AF32" i="13"/>
  <c r="AY32" i="13"/>
  <c r="Y32" i="13"/>
  <c r="AM32" i="13"/>
  <c r="T32" i="13"/>
  <c r="AK32" i="13"/>
  <c r="BD32" i="13"/>
  <c r="BE32" i="13"/>
  <c r="AC32" i="13"/>
  <c r="H32" i="13"/>
  <c r="BF32" i="13"/>
  <c r="AG32" i="13"/>
  <c r="AJ32" i="13"/>
  <c r="N32" i="13"/>
  <c r="S32" i="13"/>
  <c r="R32" i="13"/>
  <c r="BA32" i="13"/>
  <c r="BG32" i="13"/>
  <c r="F32" i="13"/>
  <c r="U32" i="13"/>
  <c r="AX32" i="13"/>
  <c r="CC6" i="13"/>
  <c r="CM6" i="13"/>
  <c r="CA6" i="13"/>
  <c r="CJ6" i="13"/>
  <c r="CI6" i="13"/>
  <c r="CD6" i="13"/>
  <c r="BX6" i="13"/>
  <c r="CB6" i="13"/>
  <c r="CO6" i="13"/>
  <c r="CN6" i="13"/>
  <c r="CK6" i="13"/>
  <c r="CL6" i="13"/>
  <c r="CG6" i="13"/>
  <c r="CP6" i="13"/>
  <c r="CE6" i="13"/>
  <c r="CF6" i="13"/>
  <c r="BZ6" i="13"/>
  <c r="CH6" i="13"/>
  <c r="BY6" i="13"/>
  <c r="BW6" i="13"/>
  <c r="CF10" i="13"/>
  <c r="CP10" i="13"/>
  <c r="CC10" i="13"/>
  <c r="CA10" i="13"/>
  <c r="BY10" i="13"/>
  <c r="BX10" i="13"/>
  <c r="CD10" i="13"/>
  <c r="CL10" i="13"/>
  <c r="BZ10" i="13"/>
  <c r="CN10" i="13"/>
  <c r="BW10" i="13"/>
  <c r="CB10" i="13"/>
  <c r="CE10" i="13"/>
  <c r="CJ10" i="13"/>
  <c r="CO10" i="13"/>
  <c r="CH10" i="13"/>
  <c r="CM10" i="13"/>
  <c r="CG10" i="13"/>
  <c r="CI10" i="13"/>
  <c r="CK10" i="13"/>
  <c r="BO8" i="13"/>
  <c r="AZ8" i="13"/>
  <c r="BU8" i="13"/>
  <c r="BC8" i="13"/>
  <c r="BE8" i="13"/>
  <c r="BB8" i="13"/>
  <c r="BG8" i="13"/>
  <c r="BJ8" i="13"/>
  <c r="AS8" i="13"/>
  <c r="BL8" i="13"/>
  <c r="BP8" i="13"/>
  <c r="AV8" i="13"/>
  <c r="BH8" i="13"/>
  <c r="AT8" i="13"/>
  <c r="AW8" i="13"/>
  <c r="AX8" i="13"/>
  <c r="BT8" i="13"/>
  <c r="AY8" i="13"/>
  <c r="BA8" i="13"/>
  <c r="BD8" i="13"/>
  <c r="BR8" i="13"/>
  <c r="BQ8" i="13"/>
  <c r="BF8" i="13"/>
  <c r="BS8" i="13"/>
  <c r="BN8" i="13"/>
  <c r="AU8" i="13"/>
  <c r="BI8" i="13"/>
  <c r="BM8" i="13"/>
  <c r="BV8" i="13"/>
  <c r="BK8" i="13"/>
  <c r="CA33" i="13"/>
  <c r="BN33" i="13"/>
  <c r="AE50" i="13"/>
  <c r="AX50" i="13"/>
  <c r="AW50" i="13"/>
  <c r="AF50" i="13"/>
  <c r="AS50" i="13"/>
  <c r="CC33" i="13"/>
  <c r="BP33" i="13"/>
  <c r="AZ50" i="13"/>
  <c r="BD50" i="13"/>
  <c r="BJ33" i="13"/>
  <c r="BO33" i="13"/>
  <c r="BL33" i="13"/>
  <c r="BY33" i="13"/>
  <c r="CG33" i="13"/>
  <c r="AN50" i="13"/>
  <c r="BA50" i="13"/>
  <c r="AI50" i="13"/>
  <c r="AL50" i="13"/>
  <c r="BU33" i="13"/>
  <c r="BS33" i="13"/>
  <c r="CF33" i="13"/>
  <c r="AJ50" i="13"/>
  <c r="AA50" i="13"/>
  <c r="AH50" i="13"/>
  <c r="AR50" i="13"/>
  <c r="AY50" i="13"/>
  <c r="Z50" i="13"/>
  <c r="BV33" i="13"/>
  <c r="BF50" i="13"/>
  <c r="AQ50" i="13"/>
  <c r="AM50" i="13"/>
  <c r="BE50" i="13"/>
  <c r="AB50" i="13"/>
  <c r="AO50" i="13"/>
  <c r="BB50" i="13"/>
  <c r="AC50" i="13"/>
  <c r="AU50" i="13"/>
  <c r="CD33" i="13"/>
  <c r="CB33" i="13"/>
  <c r="BT33" i="13"/>
  <c r="BW33" i="13"/>
  <c r="BZ33" i="13"/>
  <c r="BX33" i="13"/>
  <c r="BR33" i="13"/>
  <c r="CE33" i="13"/>
  <c r="BG50" i="13"/>
  <c r="AP50" i="13"/>
  <c r="AK50" i="13"/>
  <c r="AV50" i="13"/>
  <c r="BI33" i="13"/>
  <c r="AG50" i="13"/>
  <c r="BC50" i="13"/>
  <c r="AT50" i="13"/>
  <c r="BH50" i="13"/>
  <c r="BQ33" i="13"/>
  <c r="BK33" i="13"/>
  <c r="BM33" i="13"/>
  <c r="AC53" i="13"/>
  <c r="BB53" i="13"/>
  <c r="CG36" i="13"/>
  <c r="AW53" i="13"/>
  <c r="AP53" i="13"/>
  <c r="BN36" i="13"/>
  <c r="AN53" i="13"/>
  <c r="BH53" i="13"/>
  <c r="BV36" i="13"/>
  <c r="BD53" i="13"/>
  <c r="AV53" i="13"/>
  <c r="AO53" i="13"/>
  <c r="BE53" i="13"/>
  <c r="AU53" i="13"/>
  <c r="BI36" i="13"/>
  <c r="AM53" i="13"/>
  <c r="BA53" i="13"/>
  <c r="AR53" i="13"/>
  <c r="CD36" i="13"/>
  <c r="AK53" i="13"/>
  <c r="BS36" i="13"/>
  <c r="AE53" i="13"/>
  <c r="BJ36" i="13"/>
  <c r="AY53" i="13"/>
  <c r="AH53" i="13"/>
  <c r="AL53" i="13"/>
  <c r="AF53" i="13"/>
  <c r="BC53" i="13"/>
  <c r="AQ53" i="13"/>
  <c r="AI53" i="13"/>
  <c r="Z53" i="13"/>
  <c r="BF53" i="13"/>
  <c r="AB53" i="13"/>
  <c r="BR36" i="13"/>
  <c r="AG53" i="13"/>
  <c r="AJ53" i="13"/>
  <c r="BL36" i="13"/>
  <c r="BZ36" i="13"/>
  <c r="CF36" i="13"/>
  <c r="BP36" i="13"/>
  <c r="AS53" i="13"/>
  <c r="BK36" i="13"/>
  <c r="BW36" i="13"/>
  <c r="BY36" i="13"/>
  <c r="AZ53" i="13"/>
  <c r="AT53" i="13"/>
  <c r="AA53" i="13"/>
  <c r="BO36" i="13"/>
  <c r="BX36" i="13"/>
  <c r="CE36" i="13"/>
  <c r="BM36" i="13"/>
  <c r="CA36" i="13"/>
  <c r="CC36" i="13"/>
  <c r="BQ36" i="13"/>
  <c r="BT36" i="13"/>
  <c r="CB36" i="13"/>
  <c r="BU36" i="13"/>
  <c r="BG53" i="13"/>
  <c r="AX53" i="13"/>
  <c r="AY5" i="13"/>
  <c r="BU5" i="13"/>
  <c r="AZ5" i="13"/>
  <c r="AT5" i="13"/>
  <c r="BO5" i="13"/>
  <c r="BV5" i="13"/>
  <c r="BD5" i="13"/>
  <c r="BT5" i="13"/>
  <c r="BG5" i="13"/>
  <c r="BH5" i="13"/>
  <c r="BB5" i="13"/>
  <c r="AX5" i="13"/>
  <c r="AW5" i="13"/>
  <c r="BK5" i="13"/>
  <c r="BQ5" i="13"/>
  <c r="AU5" i="13"/>
  <c r="BR5" i="13"/>
  <c r="BJ5" i="13"/>
  <c r="AS5" i="13"/>
  <c r="BA5" i="13"/>
  <c r="BM5" i="13"/>
  <c r="BI5" i="13"/>
  <c r="BN5" i="13"/>
  <c r="AV5" i="13"/>
  <c r="BF5" i="13"/>
  <c r="BC5" i="13"/>
  <c r="BL5" i="13"/>
  <c r="BS5" i="13"/>
  <c r="BP5" i="13"/>
  <c r="BE5" i="13"/>
  <c r="B3" i="13"/>
  <c r="G29" i="13"/>
  <c r="X29" i="13"/>
  <c r="AX29" i="13"/>
  <c r="AB29" i="13"/>
  <c r="AD29" i="13"/>
  <c r="BG29" i="13"/>
  <c r="AP29" i="13"/>
  <c r="AY63" i="13"/>
  <c r="AO63" i="13"/>
  <c r="AC63" i="13"/>
  <c r="J29" i="13"/>
  <c r="U29" i="13"/>
  <c r="V29" i="13"/>
  <c r="BB29" i="13"/>
  <c r="AJ29" i="13"/>
  <c r="BC29" i="13"/>
  <c r="BE29" i="13"/>
  <c r="L29" i="13"/>
  <c r="T29" i="13"/>
  <c r="AC29" i="13"/>
  <c r="AI29" i="13"/>
  <c r="BA29" i="13"/>
  <c r="AZ29" i="13"/>
  <c r="H29" i="13"/>
  <c r="N29" i="13"/>
  <c r="I29" i="13"/>
  <c r="AV29" i="13"/>
  <c r="AN29" i="13"/>
  <c r="AO29" i="13"/>
  <c r="AG29" i="13"/>
  <c r="AZ63" i="13"/>
  <c r="AD63" i="13"/>
  <c r="AT63" i="13"/>
  <c r="AL63" i="13"/>
  <c r="BG63" i="13"/>
  <c r="AJ63" i="13"/>
  <c r="AV63" i="13"/>
  <c r="AR63" i="13"/>
  <c r="AK63" i="13"/>
  <c r="AW63" i="13"/>
  <c r="AX63" i="13"/>
  <c r="BC63" i="13"/>
  <c r="AN63" i="13"/>
  <c r="BD63" i="13"/>
  <c r="P29" i="13"/>
  <c r="O29" i="13"/>
  <c r="S29" i="13"/>
  <c r="AF29" i="13"/>
  <c r="AU29" i="13"/>
  <c r="AL29" i="13"/>
  <c r="BH29" i="13"/>
  <c r="AA63" i="13"/>
  <c r="BB63" i="13"/>
  <c r="F29" i="13"/>
  <c r="R29" i="13"/>
  <c r="AS29" i="13"/>
  <c r="Z29" i="13"/>
  <c r="AM29" i="13"/>
  <c r="AK29" i="13"/>
  <c r="AE29" i="13"/>
  <c r="AI63" i="13"/>
  <c r="W29" i="13"/>
  <c r="Y29" i="13"/>
  <c r="K29" i="13"/>
  <c r="BD29" i="13"/>
  <c r="AW29" i="13"/>
  <c r="AA29" i="13"/>
  <c r="AT29" i="13"/>
  <c r="BH63" i="13"/>
  <c r="AS63" i="13"/>
  <c r="AF63" i="13"/>
  <c r="AP63" i="13"/>
  <c r="BF63" i="13"/>
  <c r="AE63" i="13"/>
  <c r="AG63" i="13"/>
  <c r="BE63" i="13"/>
  <c r="M29" i="13"/>
  <c r="Q29" i="13"/>
  <c r="AQ29" i="13"/>
  <c r="BF29" i="13"/>
  <c r="AH29" i="13"/>
  <c r="AR29" i="13"/>
  <c r="AY29" i="13"/>
  <c r="BA63" i="13"/>
  <c r="AU63" i="13"/>
  <c r="AQ63" i="13"/>
  <c r="AB63" i="13"/>
  <c r="AH63" i="13"/>
  <c r="AM63" i="13"/>
  <c r="Z63" i="13"/>
  <c r="CS44" i="13"/>
  <c r="CN44" i="13"/>
  <c r="BX44" i="13"/>
  <c r="BX61" i="13"/>
  <c r="CD44" i="13"/>
  <c r="CD61" i="13"/>
  <c r="CM44" i="13"/>
  <c r="CT44" i="13"/>
  <c r="BY44" i="13"/>
  <c r="BY61" i="13"/>
  <c r="BO44" i="13"/>
  <c r="BO61" i="13"/>
  <c r="CG44" i="13"/>
  <c r="CG61" i="13"/>
  <c r="CI44" i="13"/>
  <c r="BK44" i="13"/>
  <c r="BK61" i="13"/>
  <c r="CN61" i="13"/>
  <c r="BU61" i="13"/>
  <c r="CK44" i="13"/>
  <c r="BR44" i="13"/>
  <c r="BR61" i="13"/>
  <c r="BV44" i="13"/>
  <c r="BV61" i="13"/>
  <c r="CC44" i="13"/>
  <c r="CC61" i="13"/>
  <c r="CK27" i="13"/>
  <c r="CI61" i="13"/>
  <c r="CR27" i="13"/>
  <c r="BI44" i="13"/>
  <c r="CJ27" i="13"/>
  <c r="CN27" i="13"/>
  <c r="CK61" i="13"/>
  <c r="CJ44" i="13"/>
  <c r="CO44" i="13"/>
  <c r="CP44" i="13"/>
  <c r="CB44" i="13"/>
  <c r="CB61" i="13"/>
  <c r="CE44" i="13"/>
  <c r="CE61" i="13"/>
  <c r="CO27" i="13"/>
  <c r="CQ44" i="13"/>
  <c r="CQ61" i="13"/>
  <c r="CQ27" i="13"/>
  <c r="BL44" i="13"/>
  <c r="BL61" i="13"/>
  <c r="CP27" i="13"/>
  <c r="BN44" i="13"/>
  <c r="BN61" i="13"/>
  <c r="CF44" i="13"/>
  <c r="CF61" i="13"/>
  <c r="CM27" i="13"/>
  <c r="CL27" i="13"/>
  <c r="BT44" i="13"/>
  <c r="BT61" i="13"/>
  <c r="CV44" i="13"/>
  <c r="BM44" i="13"/>
  <c r="BM61" i="13"/>
  <c r="CU27" i="13"/>
  <c r="CH27" i="13"/>
  <c r="CI27" i="13"/>
  <c r="BW44" i="13"/>
  <c r="BW61" i="13"/>
  <c r="CV27" i="13"/>
  <c r="CM61" i="13"/>
  <c r="CT61" i="13"/>
  <c r="BS44" i="13"/>
  <c r="BS61" i="13"/>
  <c r="CL44" i="13"/>
  <c r="CL61" i="13"/>
  <c r="BP44" i="13"/>
  <c r="BP61" i="13"/>
  <c r="CU44" i="13"/>
  <c r="CU61" i="13"/>
  <c r="CA44" i="13"/>
  <c r="CA61" i="13"/>
  <c r="CT27" i="13"/>
  <c r="CR61" i="13"/>
  <c r="CH44" i="13"/>
  <c r="CS61" i="13"/>
  <c r="CJ61" i="13"/>
  <c r="CO61" i="13"/>
  <c r="CP61" i="13"/>
  <c r="CV61" i="13"/>
  <c r="BQ44" i="13"/>
  <c r="BQ61" i="13"/>
  <c r="BJ44" i="13"/>
  <c r="BJ61" i="13"/>
  <c r="BZ44" i="13"/>
  <c r="BZ61" i="13"/>
  <c r="CS27" i="13"/>
  <c r="CH61" i="13"/>
  <c r="BX9" i="13"/>
  <c r="CH9" i="13"/>
  <c r="CO9" i="13"/>
  <c r="CA9" i="13"/>
  <c r="CE9" i="13"/>
  <c r="CM9" i="13"/>
  <c r="CB9" i="13"/>
  <c r="CP9" i="13"/>
  <c r="CD9" i="13"/>
  <c r="CL9" i="13"/>
  <c r="BW9" i="13"/>
  <c r="CF9" i="13"/>
  <c r="CG9" i="13"/>
  <c r="CN9" i="13"/>
  <c r="CJ9" i="13"/>
  <c r="BZ9" i="13"/>
  <c r="CC9" i="13"/>
  <c r="CI9" i="13"/>
  <c r="BY9" i="13"/>
  <c r="CK9" i="13"/>
  <c r="BX12" i="13"/>
  <c r="CN12" i="13"/>
  <c r="CJ12" i="13"/>
  <c r="CK12" i="13"/>
  <c r="CL12" i="13"/>
  <c r="CF12" i="13"/>
  <c r="CO12" i="13"/>
  <c r="BW12" i="13"/>
  <c r="CA12" i="13"/>
  <c r="CM12" i="13"/>
  <c r="CD12" i="13"/>
  <c r="BZ12" i="13"/>
  <c r="CC12" i="13"/>
  <c r="CE12" i="13"/>
  <c r="CG12" i="13"/>
  <c r="CI12" i="13"/>
  <c r="CH12" i="13"/>
  <c r="CP12" i="13"/>
  <c r="CB12" i="13"/>
  <c r="BY12" i="13"/>
  <c r="CV71" i="13"/>
  <c r="CM71" i="13"/>
  <c r="CE54" i="13"/>
  <c r="CB54" i="13"/>
  <c r="CI37" i="13"/>
  <c r="CS37" i="13"/>
  <c r="CH37" i="13"/>
  <c r="CU37" i="13"/>
  <c r="CO37" i="13"/>
  <c r="CN37" i="13"/>
  <c r="BV54" i="13"/>
  <c r="BR54" i="13"/>
  <c r="CG54" i="13"/>
  <c r="BM54" i="13"/>
  <c r="BO54" i="13"/>
  <c r="BK54" i="13"/>
  <c r="BQ54" i="13"/>
  <c r="BI54" i="13"/>
  <c r="CF54" i="13"/>
  <c r="BT54" i="13"/>
  <c r="CI71" i="13"/>
  <c r="CP71" i="13"/>
  <c r="CO71" i="13"/>
  <c r="CN71" i="13"/>
  <c r="CT71" i="13"/>
  <c r="CQ71" i="13"/>
  <c r="CR71" i="13"/>
  <c r="CT37" i="13"/>
  <c r="CJ37" i="13"/>
  <c r="BS54" i="13"/>
  <c r="CR37" i="13"/>
  <c r="CM37" i="13"/>
  <c r="BY54" i="13"/>
  <c r="BW54" i="13"/>
  <c r="BX54" i="13"/>
  <c r="BP54" i="13"/>
  <c r="CL71" i="13"/>
  <c r="BJ54" i="13"/>
  <c r="CD54" i="13"/>
  <c r="BL54" i="13"/>
  <c r="BN54" i="13"/>
  <c r="CS71" i="13"/>
  <c r="CK71" i="13"/>
  <c r="CA54" i="13"/>
  <c r="CV37" i="13"/>
  <c r="CC54" i="13"/>
  <c r="CJ71" i="13"/>
  <c r="CL37" i="13"/>
  <c r="CK37" i="13"/>
  <c r="BZ54" i="13"/>
  <c r="CP37" i="13"/>
  <c r="CH71" i="13"/>
  <c r="CQ37" i="13"/>
  <c r="CU71" i="13"/>
  <c r="CO50" i="13"/>
  <c r="CL50" i="13"/>
  <c r="CY33" i="13"/>
  <c r="CI50" i="13"/>
  <c r="CM50" i="13"/>
  <c r="CT50" i="13"/>
  <c r="CW67" i="13"/>
  <c r="CY67" i="13"/>
  <c r="CV50" i="13"/>
  <c r="CN50" i="13"/>
  <c r="DA33" i="13"/>
  <c r="CH50" i="13"/>
  <c r="CW33" i="13"/>
  <c r="CU50" i="13"/>
  <c r="CX67" i="13"/>
  <c r="CP50" i="13"/>
  <c r="CX33" i="13"/>
  <c r="CZ33" i="13"/>
  <c r="CZ67" i="13"/>
  <c r="CS50" i="13"/>
  <c r="CQ50" i="13"/>
  <c r="CK50" i="13"/>
  <c r="CJ50" i="13"/>
  <c r="DA67" i="13"/>
  <c r="BF9" i="13"/>
  <c r="BK9" i="13"/>
  <c r="BI9" i="13"/>
  <c r="BO9" i="13"/>
  <c r="BT9" i="13"/>
  <c r="BL9" i="13"/>
  <c r="AU9" i="13"/>
  <c r="AT9" i="13"/>
  <c r="BU9" i="13"/>
  <c r="BE9" i="13"/>
  <c r="BG9" i="13"/>
  <c r="AZ9" i="13"/>
  <c r="AS9" i="13"/>
  <c r="BV9" i="13"/>
  <c r="AV9" i="13"/>
  <c r="BD9" i="13"/>
  <c r="BC9" i="13"/>
  <c r="BH9" i="13"/>
  <c r="BS9" i="13"/>
  <c r="BQ9" i="13"/>
  <c r="BM9" i="13"/>
  <c r="BA9" i="13"/>
  <c r="BN9" i="13"/>
  <c r="BP9" i="13"/>
  <c r="AW9" i="13"/>
  <c r="AY9" i="13"/>
  <c r="AX9" i="13"/>
  <c r="BR9" i="13"/>
  <c r="BJ9" i="13"/>
  <c r="BB9" i="13"/>
  <c r="BK34" i="13"/>
  <c r="BO34" i="13"/>
  <c r="BK68" i="13"/>
  <c r="CG34" i="13"/>
  <c r="AC51" i="13"/>
  <c r="AI51" i="13"/>
  <c r="AJ51" i="13"/>
  <c r="AT51" i="13"/>
  <c r="BN34" i="13"/>
  <c r="CD34" i="13"/>
  <c r="AG51" i="13"/>
  <c r="BG51" i="13"/>
  <c r="AK51" i="13"/>
  <c r="BA51" i="13"/>
  <c r="AS51" i="13"/>
  <c r="BD51" i="13"/>
  <c r="CE34" i="13"/>
  <c r="BU34" i="13"/>
  <c r="AX51" i="13"/>
  <c r="AU51" i="13"/>
  <c r="BP34" i="13"/>
  <c r="BR34" i="13"/>
  <c r="BY68" i="13"/>
  <c r="CA68" i="13"/>
  <c r="CB34" i="13"/>
  <c r="BB51" i="13"/>
  <c r="BH51" i="13"/>
  <c r="AF51" i="13"/>
  <c r="AB51" i="13"/>
  <c r="AZ51" i="13"/>
  <c r="CC34" i="13"/>
  <c r="BS34" i="13"/>
  <c r="CA34" i="13"/>
  <c r="BQ34" i="13"/>
  <c r="BI68" i="13"/>
  <c r="CF68" i="13"/>
  <c r="CF34" i="13"/>
  <c r="AQ51" i="13"/>
  <c r="AV51" i="13"/>
  <c r="AM51" i="13"/>
  <c r="AR51" i="13"/>
  <c r="BX34" i="13"/>
  <c r="BL34" i="13"/>
  <c r="BJ34" i="13"/>
  <c r="Z51" i="13"/>
  <c r="BT68" i="13"/>
  <c r="BN68" i="13"/>
  <c r="CE68" i="13"/>
  <c r="BR68" i="13"/>
  <c r="CB68" i="13"/>
  <c r="BJ68" i="13"/>
  <c r="BO68" i="13"/>
  <c r="BM68" i="13"/>
  <c r="BP68" i="13"/>
  <c r="CD68" i="13"/>
  <c r="BV34" i="13"/>
  <c r="BZ68" i="13"/>
  <c r="BM34" i="13"/>
  <c r="BE51" i="13"/>
  <c r="AW51" i="13"/>
  <c r="AH51" i="13"/>
  <c r="BF51" i="13"/>
  <c r="BW34" i="13"/>
  <c r="BT34" i="13"/>
  <c r="BZ34" i="13"/>
  <c r="BI34" i="13"/>
  <c r="AL51" i="13"/>
  <c r="AY51" i="13"/>
  <c r="AA51" i="13"/>
  <c r="AN51" i="13"/>
  <c r="AE51" i="13"/>
  <c r="AP51" i="13"/>
  <c r="BC51" i="13"/>
  <c r="BS68" i="13"/>
  <c r="BV68" i="13"/>
  <c r="BW68" i="13"/>
  <c r="CC68" i="13"/>
  <c r="BU68" i="13"/>
  <c r="CG68" i="13"/>
  <c r="BX68" i="13"/>
  <c r="BL68" i="13"/>
  <c r="BQ68" i="13"/>
  <c r="BY34" i="13"/>
  <c r="AO51" i="13"/>
  <c r="AZ54" i="13"/>
  <c r="AF54" i="13"/>
  <c r="BW37" i="13"/>
  <c r="BQ37" i="13"/>
  <c r="AY54" i="13"/>
  <c r="BO37" i="13"/>
  <c r="BY71" i="13"/>
  <c r="BW71" i="13"/>
  <c r="BX71" i="13"/>
  <c r="BL71" i="13"/>
  <c r="AT54" i="13"/>
  <c r="AX54" i="13"/>
  <c r="Z54" i="13"/>
  <c r="BC54" i="13"/>
  <c r="BN37" i="13"/>
  <c r="BJ37" i="13"/>
  <c r="BG54" i="13"/>
  <c r="BU37" i="13"/>
  <c r="CA71" i="13"/>
  <c r="AW54" i="13"/>
  <c r="BT37" i="13"/>
  <c r="CF37" i="13"/>
  <c r="BD54" i="13"/>
  <c r="AO54" i="13"/>
  <c r="AA54" i="13"/>
  <c r="BE54" i="13"/>
  <c r="BH54" i="13"/>
  <c r="BK37" i="13"/>
  <c r="BS71" i="13"/>
  <c r="CE71" i="13"/>
  <c r="BS37" i="13"/>
  <c r="AS54" i="13"/>
  <c r="CB37" i="13"/>
  <c r="CA37" i="13"/>
  <c r="BA54" i="13"/>
  <c r="BL37" i="13"/>
  <c r="AP54" i="13"/>
  <c r="BM37" i="13"/>
  <c r="BV71" i="13"/>
  <c r="BR71" i="13"/>
  <c r="CG71" i="13"/>
  <c r="BM71" i="13"/>
  <c r="BO71" i="13"/>
  <c r="BK71" i="13"/>
  <c r="BQ71" i="13"/>
  <c r="CF71" i="13"/>
  <c r="BV37" i="13"/>
  <c r="AU54" i="13"/>
  <c r="AC54" i="13"/>
  <c r="AM54" i="13"/>
  <c r="BY37" i="13"/>
  <c r="AE54" i="13"/>
  <c r="AH54" i="13"/>
  <c r="AG54" i="13"/>
  <c r="CE37" i="13"/>
  <c r="BP37" i="13"/>
  <c r="CC71" i="13"/>
  <c r="CD71" i="13"/>
  <c r="BN71" i="13"/>
  <c r="BZ37" i="13"/>
  <c r="AN54" i="13"/>
  <c r="AI54" i="13"/>
  <c r="CG37" i="13"/>
  <c r="AL54" i="13"/>
  <c r="BF54" i="13"/>
  <c r="CC37" i="13"/>
  <c r="BB54" i="13"/>
  <c r="AQ54" i="13"/>
  <c r="BX37" i="13"/>
  <c r="CD37" i="13"/>
  <c r="CB71" i="13"/>
  <c r="BP71" i="13"/>
  <c r="BZ71" i="13"/>
  <c r="BU71" i="13"/>
  <c r="BT71" i="13"/>
  <c r="AR54" i="13"/>
  <c r="AK54" i="13"/>
  <c r="BR37" i="13"/>
  <c r="AJ54" i="13"/>
  <c r="AV54" i="13"/>
  <c r="AB54" i="13"/>
  <c r="BI37" i="13"/>
  <c r="BJ71" i="13"/>
  <c r="BI71" i="13"/>
  <c r="AZ6" i="13"/>
  <c r="AS6" i="13"/>
  <c r="AX6" i="13"/>
  <c r="BU6" i="13"/>
  <c r="BN6" i="13"/>
  <c r="BP6" i="13"/>
  <c r="BH6" i="13"/>
  <c r="BI6" i="13"/>
  <c r="BO6" i="13"/>
  <c r="AV6" i="13"/>
  <c r="BJ6" i="13"/>
  <c r="AW6" i="13"/>
  <c r="AT6" i="13"/>
  <c r="BT6" i="13"/>
  <c r="BC6" i="13"/>
  <c r="BE6" i="13"/>
  <c r="AY6" i="13"/>
  <c r="BB6" i="13"/>
  <c r="BG6" i="13"/>
  <c r="BQ6" i="13"/>
  <c r="BV6" i="13"/>
  <c r="AU6" i="13"/>
  <c r="BK6" i="13"/>
  <c r="BD6" i="13"/>
  <c r="BA6" i="13"/>
  <c r="BS6" i="13"/>
  <c r="BR6" i="13"/>
  <c r="BF6" i="13"/>
  <c r="BM6" i="13"/>
  <c r="BL6" i="13"/>
  <c r="I26" i="13"/>
  <c r="V26" i="13"/>
  <c r="AD26" i="13"/>
  <c r="AT26" i="13"/>
  <c r="AG26" i="13"/>
  <c r="AI26" i="13"/>
  <c r="AP26" i="13"/>
  <c r="O26" i="13"/>
  <c r="W26" i="13"/>
  <c r="AA26" i="13"/>
  <c r="BH26" i="13"/>
  <c r="AL26" i="13"/>
  <c r="AS26" i="13"/>
  <c r="H26" i="13"/>
  <c r="G26" i="13"/>
  <c r="R26" i="13"/>
  <c r="AK26" i="13"/>
  <c r="BF26" i="13"/>
  <c r="BD26" i="13"/>
  <c r="AH26" i="13"/>
  <c r="T26" i="13"/>
  <c r="U26" i="13"/>
  <c r="Q26" i="13"/>
  <c r="AC26" i="13"/>
  <c r="AX26" i="13"/>
  <c r="BB26" i="13"/>
  <c r="AW26" i="13"/>
  <c r="X26" i="13"/>
  <c r="M26" i="13"/>
  <c r="P26" i="13"/>
  <c r="AR26" i="13"/>
  <c r="AQ26" i="13"/>
  <c r="AV26" i="13"/>
  <c r="Z26" i="13"/>
  <c r="L26" i="13"/>
  <c r="N26" i="13"/>
  <c r="F26" i="13"/>
  <c r="BC26" i="13"/>
  <c r="AE26" i="13"/>
  <c r="BA26" i="13"/>
  <c r="AY26" i="13"/>
  <c r="Y26" i="13"/>
  <c r="J26" i="13"/>
  <c r="BG26" i="13"/>
  <c r="AF26" i="13"/>
  <c r="AJ26" i="13"/>
  <c r="AM26" i="13"/>
  <c r="S26" i="13"/>
  <c r="K26" i="13"/>
  <c r="AB26" i="13"/>
  <c r="BE26" i="13"/>
  <c r="AO26" i="13"/>
  <c r="AU26" i="13"/>
  <c r="AZ26" i="13"/>
  <c r="AN26" i="13"/>
  <c r="V30" i="13"/>
  <c r="S30" i="13"/>
  <c r="M30" i="13"/>
  <c r="L30" i="13"/>
  <c r="K30" i="13"/>
  <c r="Z30" i="13"/>
  <c r="BF30" i="13"/>
  <c r="AI30" i="13"/>
  <c r="AV30" i="13"/>
  <c r="P30" i="13"/>
  <c r="Y30" i="13"/>
  <c r="I30" i="13"/>
  <c r="T30" i="13"/>
  <c r="AG30" i="13"/>
  <c r="AF30" i="13"/>
  <c r="BD30" i="13"/>
  <c r="AW30" i="13"/>
  <c r="AS30" i="13"/>
  <c r="BH30" i="13"/>
  <c r="AB30" i="13"/>
  <c r="X30" i="13"/>
  <c r="R30" i="13"/>
  <c r="H30" i="13"/>
  <c r="O30" i="13"/>
  <c r="G30" i="13"/>
  <c r="BA30" i="13"/>
  <c r="AX30" i="13"/>
  <c r="AY30" i="13"/>
  <c r="AP30" i="13"/>
  <c r="BC30" i="13"/>
  <c r="N30" i="13"/>
  <c r="U30" i="13"/>
  <c r="W30" i="13"/>
  <c r="Q30" i="13"/>
  <c r="J30" i="13"/>
  <c r="F30" i="13"/>
  <c r="AH30" i="13"/>
  <c r="AC30" i="13"/>
  <c r="AO30" i="13"/>
  <c r="AQ30" i="13"/>
  <c r="AM30" i="13"/>
  <c r="AJ30" i="13"/>
  <c r="AZ30" i="13"/>
  <c r="AA30" i="13"/>
  <c r="AN30" i="13"/>
  <c r="BB30" i="13"/>
  <c r="BG30" i="13"/>
  <c r="AK30" i="13"/>
  <c r="BE30" i="13"/>
  <c r="AT30" i="13"/>
  <c r="AE30" i="13"/>
  <c r="AR30" i="13"/>
  <c r="AD30" i="13"/>
  <c r="AL30" i="13"/>
  <c r="AU30" i="13"/>
  <c r="W11" i="13"/>
  <c r="W67" i="13"/>
  <c r="L11" i="13"/>
  <c r="L67" i="13"/>
  <c r="U11" i="13"/>
  <c r="U67" i="13"/>
  <c r="AP11" i="13"/>
  <c r="J11" i="13"/>
  <c r="J67" i="13"/>
  <c r="Y11" i="13"/>
  <c r="Y67" i="13"/>
  <c r="AJ11" i="13"/>
  <c r="S11" i="13"/>
  <c r="S67" i="13"/>
  <c r="M11" i="13"/>
  <c r="M67" i="13"/>
  <c r="AL11" i="13"/>
  <c r="T11" i="13"/>
  <c r="T67" i="13"/>
  <c r="O11" i="13"/>
  <c r="O67" i="13"/>
  <c r="AC11" i="13"/>
  <c r="AN11" i="13"/>
  <c r="AF11" i="13"/>
  <c r="I11" i="13"/>
  <c r="I67" i="13"/>
  <c r="Q11" i="13"/>
  <c r="Q67" i="13"/>
  <c r="R11" i="13"/>
  <c r="R67" i="13"/>
  <c r="Z11" i="13"/>
  <c r="AM11" i="13"/>
  <c r="AD11" i="13"/>
  <c r="AB11" i="13"/>
  <c r="AK11" i="13"/>
  <c r="AR11" i="13"/>
  <c r="AQ11" i="13"/>
  <c r="P11" i="13"/>
  <c r="P67" i="13"/>
  <c r="AO11" i="13"/>
  <c r="V11" i="13"/>
  <c r="V67" i="13"/>
  <c r="F11" i="13"/>
  <c r="F67" i="13"/>
  <c r="G11" i="13"/>
  <c r="G67" i="13"/>
  <c r="AG11" i="13"/>
  <c r="K11" i="13"/>
  <c r="K67" i="13"/>
  <c r="AH11" i="13"/>
  <c r="X11" i="13"/>
  <c r="X67" i="13"/>
  <c r="H11" i="13"/>
  <c r="H67" i="13"/>
  <c r="AA11" i="13"/>
  <c r="AI11" i="13"/>
  <c r="N11" i="13"/>
  <c r="N67" i="13"/>
  <c r="AE11" i="13"/>
  <c r="Y36" i="13"/>
  <c r="N36" i="13"/>
  <c r="R36" i="13"/>
  <c r="X36" i="13"/>
  <c r="S36" i="13"/>
  <c r="T36" i="13"/>
  <c r="K36" i="13"/>
  <c r="V36" i="13"/>
  <c r="H36" i="13"/>
  <c r="U36" i="13"/>
  <c r="P36" i="13"/>
  <c r="W36" i="13"/>
  <c r="M36" i="13"/>
  <c r="O36" i="13"/>
  <c r="I36" i="13"/>
  <c r="F36" i="13"/>
  <c r="Q36" i="13"/>
  <c r="L36" i="13"/>
  <c r="G36" i="13"/>
  <c r="J36" i="13"/>
  <c r="AY70" i="13"/>
  <c r="AH70" i="13"/>
  <c r="AL70" i="13"/>
  <c r="AF70" i="13"/>
  <c r="BC70" i="13"/>
  <c r="AQ70" i="13"/>
  <c r="AI70" i="13"/>
  <c r="BF70" i="13"/>
  <c r="AB14" i="13"/>
  <c r="AB70" i="13"/>
  <c r="BE36" i="13"/>
  <c r="AI36" i="13"/>
  <c r="BA36" i="13"/>
  <c r="AL36" i="13"/>
  <c r="AD36" i="13"/>
  <c r="BF36" i="13"/>
  <c r="AT36" i="13"/>
  <c r="AR36" i="13"/>
  <c r="AM36" i="13"/>
  <c r="AG70" i="13"/>
  <c r="AD70" i="13"/>
  <c r="AJ70" i="13"/>
  <c r="AS70" i="13"/>
  <c r="AZ70" i="13"/>
  <c r="AT70" i="13"/>
  <c r="AA14" i="13"/>
  <c r="AA70" i="13"/>
  <c r="AC36" i="13"/>
  <c r="BC36" i="13"/>
  <c r="AA36" i="13"/>
  <c r="Z36" i="13"/>
  <c r="AB36" i="13"/>
  <c r="BG70" i="13"/>
  <c r="AX70" i="13"/>
  <c r="BB36" i="13"/>
  <c r="AF36" i="13"/>
  <c r="AY36" i="13"/>
  <c r="AW36" i="13"/>
  <c r="AX36" i="13"/>
  <c r="Z14" i="13"/>
  <c r="Z70" i="13"/>
  <c r="AC14" i="13"/>
  <c r="AC70" i="13"/>
  <c r="BB70" i="13"/>
  <c r="AW70" i="13"/>
  <c r="AP70" i="13"/>
  <c r="AN70" i="13"/>
  <c r="BH70" i="13"/>
  <c r="BD70" i="13"/>
  <c r="AV70" i="13"/>
  <c r="AO70" i="13"/>
  <c r="BE70" i="13"/>
  <c r="AU70" i="13"/>
  <c r="AO36" i="13"/>
  <c r="BD36" i="13"/>
  <c r="BG36" i="13"/>
  <c r="AZ36" i="13"/>
  <c r="AE36" i="13"/>
  <c r="BH36" i="13"/>
  <c r="AJ36" i="13"/>
  <c r="AP36" i="13"/>
  <c r="AM70" i="13"/>
  <c r="BA70" i="13"/>
  <c r="AR70" i="13"/>
  <c r="AK70" i="13"/>
  <c r="AV36" i="13"/>
  <c r="AK36" i="13"/>
  <c r="AU36" i="13"/>
  <c r="AH36" i="13"/>
  <c r="AS36" i="13"/>
  <c r="AE70" i="13"/>
  <c r="AN36" i="13"/>
  <c r="AQ36" i="13"/>
  <c r="AG36" i="13"/>
  <c r="CN4" i="13"/>
  <c r="BZ4" i="13"/>
  <c r="CC4" i="13"/>
  <c r="CL4" i="13"/>
  <c r="CO4" i="13"/>
  <c r="CE4" i="13"/>
  <c r="CJ4" i="13"/>
  <c r="CD4" i="13"/>
  <c r="BY4" i="13"/>
  <c r="CA4" i="13"/>
  <c r="CF4" i="13"/>
  <c r="CM4" i="13"/>
  <c r="BX4" i="13"/>
  <c r="CB4" i="13"/>
  <c r="BW4" i="13"/>
  <c r="CH4" i="13"/>
  <c r="CG4" i="13"/>
  <c r="CI4" i="13"/>
  <c r="CP4" i="13"/>
  <c r="CK4" i="13"/>
  <c r="CI8" i="13"/>
  <c r="BX8" i="13"/>
  <c r="BY8" i="13"/>
  <c r="BW8" i="13"/>
  <c r="CJ8" i="13"/>
  <c r="CF8" i="13"/>
  <c r="CL8" i="13"/>
  <c r="CP8" i="13"/>
  <c r="CH8" i="13"/>
  <c r="CE8" i="13"/>
  <c r="CB8" i="13"/>
  <c r="CD8" i="13"/>
  <c r="CK8" i="13"/>
  <c r="CO8" i="13"/>
  <c r="CN8" i="13"/>
  <c r="CA8" i="13"/>
  <c r="CM8" i="13"/>
  <c r="CG8" i="13"/>
  <c r="CC8" i="13"/>
  <c r="BZ8" i="13"/>
  <c r="CT33" i="13"/>
  <c r="CL33" i="13"/>
  <c r="CD50" i="13"/>
  <c r="CD67" i="13"/>
  <c r="BQ50" i="13"/>
  <c r="BQ67" i="13"/>
  <c r="BS50" i="13"/>
  <c r="BS67" i="13"/>
  <c r="CC50" i="13"/>
  <c r="CC67" i="13"/>
  <c r="BY50" i="13"/>
  <c r="BY67" i="13"/>
  <c r="CH33" i="13"/>
  <c r="CG50" i="13"/>
  <c r="CG67" i="13"/>
  <c r="BO50" i="13"/>
  <c r="BO67" i="13"/>
  <c r="BV50" i="13"/>
  <c r="BV67" i="13"/>
  <c r="BU67" i="13"/>
  <c r="CB50" i="13"/>
  <c r="CB67" i="13"/>
  <c r="BJ50" i="13"/>
  <c r="BJ67" i="13"/>
  <c r="BN50" i="13"/>
  <c r="BN67" i="13"/>
  <c r="CV67" i="13"/>
  <c r="CN67" i="13"/>
  <c r="CR33" i="13"/>
  <c r="BT50" i="13"/>
  <c r="BT67" i="13"/>
  <c r="CE50" i="13"/>
  <c r="CE67" i="13"/>
  <c r="BI50" i="13"/>
  <c r="CK33" i="13"/>
  <c r="CA50" i="13"/>
  <c r="CA67" i="13"/>
  <c r="BM50" i="13"/>
  <c r="BM67" i="13"/>
  <c r="CO33" i="13"/>
  <c r="BR50" i="13"/>
  <c r="BR67" i="13"/>
  <c r="BW50" i="13"/>
  <c r="BW67" i="13"/>
  <c r="CV33" i="13"/>
  <c r="CJ33" i="13"/>
  <c r="BP50" i="13"/>
  <c r="BP67" i="13"/>
  <c r="BZ50" i="13"/>
  <c r="BZ67" i="13"/>
  <c r="CP33" i="13"/>
  <c r="BL50" i="13"/>
  <c r="BL67" i="13"/>
  <c r="CT67" i="13"/>
  <c r="CS67" i="13"/>
  <c r="CS33" i="13"/>
  <c r="CN33" i="13"/>
  <c r="CQ67" i="13"/>
  <c r="CK67" i="13"/>
  <c r="CJ67" i="13"/>
  <c r="CQ33" i="13"/>
  <c r="CI33" i="13"/>
  <c r="BX50" i="13"/>
  <c r="BX67" i="13"/>
  <c r="BK50" i="13"/>
  <c r="BK67" i="13"/>
  <c r="CO67" i="13"/>
  <c r="CU67" i="13"/>
  <c r="CL67" i="13"/>
  <c r="CP67" i="13"/>
  <c r="CM67" i="13"/>
  <c r="CU33" i="13"/>
  <c r="CM33" i="13"/>
  <c r="CF50" i="13"/>
  <c r="CF67" i="13"/>
  <c r="CI67" i="13"/>
  <c r="CR67" i="13"/>
  <c r="CH67" i="13"/>
  <c r="CE14" i="13"/>
  <c r="CC14" i="13"/>
  <c r="CA14" i="13"/>
  <c r="CG14" i="13"/>
  <c r="CJ14" i="13"/>
  <c r="BX14" i="13"/>
  <c r="BW14" i="13"/>
  <c r="CK14" i="13"/>
  <c r="CM14" i="13"/>
  <c r="CB14" i="13"/>
  <c r="CP14" i="13"/>
  <c r="CI14" i="13"/>
  <c r="CH14" i="13"/>
  <c r="BY14" i="13"/>
  <c r="CN14" i="13"/>
  <c r="CO14" i="13"/>
  <c r="CL14" i="13"/>
  <c r="CF14" i="13"/>
  <c r="CD14" i="13"/>
  <c r="BZ14" i="13"/>
  <c r="L70" i="12"/>
  <c r="L73" i="12"/>
  <c r="L123" i="12"/>
  <c r="L74" i="12"/>
  <c r="C3" i="13"/>
  <c r="BU10" i="13"/>
  <c r="BS10" i="13"/>
  <c r="BD10" i="13"/>
  <c r="AY10" i="13"/>
  <c r="BE10" i="13"/>
  <c r="BC10" i="13"/>
  <c r="AS10" i="13"/>
  <c r="BA10" i="13"/>
  <c r="BJ10" i="13"/>
  <c r="BF10" i="13"/>
  <c r="AT10" i="13"/>
  <c r="BG10" i="13"/>
  <c r="BQ10" i="13"/>
  <c r="BL10" i="13"/>
  <c r="BM10" i="13"/>
  <c r="AW10" i="13"/>
  <c r="BI10" i="13"/>
  <c r="BP10" i="13"/>
  <c r="BH10" i="13"/>
  <c r="BN10" i="13"/>
  <c r="BO10" i="13"/>
  <c r="BT10" i="13"/>
  <c r="AX10" i="13"/>
  <c r="BV10" i="13"/>
  <c r="BB10" i="13"/>
  <c r="BR10" i="13"/>
  <c r="AV10" i="13"/>
  <c r="AZ10" i="13"/>
  <c r="BK10" i="13"/>
  <c r="AU10" i="13"/>
  <c r="C13" i="13"/>
  <c r="R5" i="13"/>
  <c r="R61" i="13"/>
  <c r="AR5" i="13"/>
  <c r="M5" i="13"/>
  <c r="M61" i="13"/>
  <c r="F5" i="13"/>
  <c r="F61" i="13"/>
  <c r="I5" i="13"/>
  <c r="I61" i="13"/>
  <c r="AG5" i="13"/>
  <c r="AA5" i="13"/>
  <c r="AI5" i="13"/>
  <c r="AB5" i="13"/>
  <c r="W5" i="13"/>
  <c r="W61" i="13"/>
  <c r="AP5" i="13"/>
  <c r="V5" i="13"/>
  <c r="V61" i="13"/>
  <c r="P5" i="13"/>
  <c r="P61" i="13"/>
  <c r="J5" i="13"/>
  <c r="J61" i="13"/>
  <c r="Q5" i="13"/>
  <c r="Q61" i="13"/>
  <c r="Y5" i="13"/>
  <c r="Y61" i="13"/>
  <c r="L5" i="13"/>
  <c r="L61" i="13"/>
  <c r="G5" i="13"/>
  <c r="G61" i="13"/>
  <c r="AO5" i="13"/>
  <c r="AL5" i="13"/>
  <c r="U5" i="13"/>
  <c r="U61" i="13"/>
  <c r="AN5" i="13"/>
  <c r="AF5" i="13"/>
  <c r="AC5" i="13"/>
  <c r="N5" i="13"/>
  <c r="N61" i="13"/>
  <c r="AK5" i="13"/>
  <c r="H5" i="13"/>
  <c r="H61" i="13"/>
  <c r="X5" i="13"/>
  <c r="X61" i="13"/>
  <c r="T5" i="13"/>
  <c r="T61" i="13"/>
  <c r="AH5" i="13"/>
  <c r="Z5" i="13"/>
  <c r="AJ5" i="13"/>
  <c r="AD5" i="13"/>
  <c r="AQ5" i="13"/>
  <c r="O5" i="13"/>
  <c r="O61" i="13"/>
  <c r="AM5" i="13"/>
  <c r="S5" i="13"/>
  <c r="S61" i="13"/>
  <c r="K5" i="13"/>
  <c r="K61" i="13"/>
  <c r="AE5" i="13"/>
  <c r="H31" i="13"/>
  <c r="Q31" i="13"/>
  <c r="U31" i="13"/>
  <c r="Y31" i="13"/>
  <c r="T31" i="13"/>
  <c r="AT31" i="13"/>
  <c r="AW31" i="13"/>
  <c r="AX31" i="13"/>
  <c r="AE31" i="13"/>
  <c r="V31" i="13"/>
  <c r="K31" i="13"/>
  <c r="X31" i="13"/>
  <c r="I31" i="13"/>
  <c r="F31" i="13"/>
  <c r="J31" i="13"/>
  <c r="AU31" i="13"/>
  <c r="AD31" i="13"/>
  <c r="AK31" i="13"/>
  <c r="AF31" i="13"/>
  <c r="R31" i="13"/>
  <c r="O31" i="13"/>
  <c r="L31" i="13"/>
  <c r="W31" i="13"/>
  <c r="M31" i="13"/>
  <c r="AY31" i="13"/>
  <c r="AL31" i="13"/>
  <c r="Z31" i="13"/>
  <c r="AC31" i="13"/>
  <c r="AV31" i="13"/>
  <c r="P31" i="13"/>
  <c r="G31" i="13"/>
  <c r="S31" i="13"/>
  <c r="N31" i="13"/>
  <c r="AO31" i="13"/>
  <c r="BH31" i="13"/>
  <c r="AS31" i="13"/>
  <c r="AJ31" i="13"/>
  <c r="AP31" i="13"/>
  <c r="AH31" i="13"/>
  <c r="AA31" i="13"/>
  <c r="BC31" i="13"/>
  <c r="AB31" i="13"/>
  <c r="BG31" i="13"/>
  <c r="AR31" i="13"/>
  <c r="BF31" i="13"/>
  <c r="BA31" i="13"/>
  <c r="BB31" i="13"/>
  <c r="BD31" i="13"/>
  <c r="AZ31" i="13"/>
  <c r="AQ31" i="13"/>
  <c r="BE31" i="13"/>
  <c r="AI31" i="13"/>
  <c r="AN31" i="13"/>
  <c r="AM31" i="13"/>
  <c r="AG31" i="13"/>
  <c r="G34" i="13"/>
  <c r="R34" i="13"/>
  <c r="M34" i="13"/>
  <c r="V34" i="13"/>
  <c r="S34" i="13"/>
  <c r="N34" i="13"/>
  <c r="X34" i="13"/>
  <c r="Q34" i="13"/>
  <c r="I34" i="13"/>
  <c r="P34" i="13"/>
  <c r="T34" i="13"/>
  <c r="L34" i="13"/>
  <c r="J34" i="13"/>
  <c r="W34" i="13"/>
  <c r="O34" i="13"/>
  <c r="H34" i="13"/>
  <c r="F34" i="13"/>
  <c r="K34" i="13"/>
  <c r="Y34" i="13"/>
  <c r="U34" i="13"/>
  <c r="AQ68" i="13"/>
  <c r="AV68" i="13"/>
  <c r="AM68" i="13"/>
  <c r="AR68" i="13"/>
  <c r="BA34" i="13"/>
  <c r="AM34" i="13"/>
  <c r="AL34" i="13"/>
  <c r="AN34" i="13"/>
  <c r="AQ34" i="13"/>
  <c r="AX34" i="13"/>
  <c r="BE34" i="13"/>
  <c r="Z34" i="13"/>
  <c r="AC34" i="13"/>
  <c r="BE68" i="13"/>
  <c r="AW68" i="13"/>
  <c r="AH68" i="13"/>
  <c r="BF68" i="13"/>
  <c r="AS34" i="13"/>
  <c r="AY34" i="13"/>
  <c r="AZ34" i="13"/>
  <c r="AV34" i="13"/>
  <c r="AL68" i="13"/>
  <c r="AY68" i="13"/>
  <c r="AA12" i="13"/>
  <c r="AA68" i="13"/>
  <c r="AN68" i="13"/>
  <c r="AE68" i="13"/>
  <c r="AP68" i="13"/>
  <c r="BC68" i="13"/>
  <c r="AK34" i="13"/>
  <c r="AH34" i="13"/>
  <c r="AO68" i="13"/>
  <c r="AF34" i="13"/>
  <c r="Z12" i="13"/>
  <c r="Z68" i="13"/>
  <c r="BB34" i="13"/>
  <c r="AP34" i="13"/>
  <c r="BD34" i="13"/>
  <c r="AC12" i="13"/>
  <c r="AC68" i="13"/>
  <c r="AD68" i="13"/>
  <c r="AI68" i="13"/>
  <c r="AJ68" i="13"/>
  <c r="AT68" i="13"/>
  <c r="BG34" i="13"/>
  <c r="BH34" i="13"/>
  <c r="AG68" i="13"/>
  <c r="BG68" i="13"/>
  <c r="AK68" i="13"/>
  <c r="BA68" i="13"/>
  <c r="AS68" i="13"/>
  <c r="BD68" i="13"/>
  <c r="AG34" i="13"/>
  <c r="AE34" i="13"/>
  <c r="AX68" i="13"/>
  <c r="AU68" i="13"/>
  <c r="AB34" i="13"/>
  <c r="AD34" i="13"/>
  <c r="AR34" i="13"/>
  <c r="AA34" i="13"/>
  <c r="AO34" i="13"/>
  <c r="BB68" i="13"/>
  <c r="BH68" i="13"/>
  <c r="AF68" i="13"/>
  <c r="AB12" i="13"/>
  <c r="AB68" i="13"/>
  <c r="AZ68" i="13"/>
  <c r="AU34" i="13"/>
  <c r="AJ34" i="13"/>
  <c r="AT34" i="13"/>
  <c r="AW34" i="13"/>
  <c r="BF34" i="13"/>
  <c r="AI34" i="13"/>
  <c r="BC34" i="13"/>
  <c r="O15" i="13"/>
  <c r="O71" i="13"/>
  <c r="K15" i="13"/>
  <c r="K71" i="13"/>
  <c r="F15" i="13"/>
  <c r="F71" i="13"/>
  <c r="U15" i="13"/>
  <c r="U71" i="13"/>
  <c r="Y15" i="13"/>
  <c r="Y71" i="13"/>
  <c r="AP15" i="13"/>
  <c r="AE15" i="13"/>
  <c r="AB15" i="13"/>
  <c r="W15" i="13"/>
  <c r="W71" i="13"/>
  <c r="P15" i="13"/>
  <c r="P71" i="13"/>
  <c r="M15" i="13"/>
  <c r="M71" i="13"/>
  <c r="Z15" i="13"/>
  <c r="H15" i="13"/>
  <c r="H71" i="13"/>
  <c r="AF15" i="13"/>
  <c r="J15" i="13"/>
  <c r="J71" i="13"/>
  <c r="V15" i="13"/>
  <c r="V71" i="13"/>
  <c r="R15" i="13"/>
  <c r="R71" i="13"/>
  <c r="AN15" i="13"/>
  <c r="X15" i="13"/>
  <c r="X71" i="13"/>
  <c r="AA15" i="13"/>
  <c r="AL15" i="13"/>
  <c r="AG15" i="13"/>
  <c r="AD15" i="13"/>
  <c r="AI15" i="13"/>
  <c r="AR15" i="13"/>
  <c r="AH15" i="13"/>
  <c r="G15" i="13"/>
  <c r="G71" i="13"/>
  <c r="Q15" i="13"/>
  <c r="Q71" i="13"/>
  <c r="N15" i="13"/>
  <c r="N71" i="13"/>
  <c r="L15" i="13"/>
  <c r="L71" i="13"/>
  <c r="AJ15" i="13"/>
  <c r="AQ15" i="13"/>
  <c r="AK15" i="13"/>
  <c r="I15" i="13"/>
  <c r="I71" i="13"/>
  <c r="AO15" i="13"/>
  <c r="T15" i="13"/>
  <c r="T71" i="13"/>
  <c r="AM15" i="13"/>
  <c r="S15" i="13"/>
  <c r="S71" i="13"/>
  <c r="AC15" i="13"/>
  <c r="CO63" i="13"/>
  <c r="BY46" i="13"/>
  <c r="BY63" i="13"/>
  <c r="BV46" i="13"/>
  <c r="BV63" i="13"/>
  <c r="CA46" i="13"/>
  <c r="CA63" i="13"/>
  <c r="CB46" i="13"/>
  <c r="CB63" i="13"/>
  <c r="CP63" i="13"/>
  <c r="CL63" i="13"/>
  <c r="CP29" i="13"/>
  <c r="CN29" i="13"/>
  <c r="CT29" i="13"/>
  <c r="CM29" i="13"/>
  <c r="BK46" i="13"/>
  <c r="BK63" i="13"/>
  <c r="BO46" i="13"/>
  <c r="BO63" i="13"/>
  <c r="CU63" i="13"/>
  <c r="CQ29" i="13"/>
  <c r="BN46" i="13"/>
  <c r="BN63" i="13"/>
  <c r="BS46" i="13"/>
  <c r="BS63" i="13"/>
  <c r="CF46" i="13"/>
  <c r="CF63" i="13"/>
  <c r="CC46" i="13"/>
  <c r="CC63" i="13"/>
  <c r="CE46" i="13"/>
  <c r="CE63" i="13"/>
  <c r="BT46" i="13"/>
  <c r="BT63" i="13"/>
  <c r="BM46" i="13"/>
  <c r="BM63" i="13"/>
  <c r="CL29" i="13"/>
  <c r="CH29" i="13"/>
  <c r="BP46" i="13"/>
  <c r="BP63" i="13"/>
  <c r="BU63" i="13"/>
  <c r="BL46" i="13"/>
  <c r="BL63" i="13"/>
  <c r="CK63" i="13"/>
  <c r="CI29" i="13"/>
  <c r="CS29" i="13"/>
  <c r="BW46" i="13"/>
  <c r="BW63" i="13"/>
  <c r="BJ46" i="13"/>
  <c r="BJ63" i="13"/>
  <c r="BQ46" i="13"/>
  <c r="BQ63" i="13"/>
  <c r="CS63" i="13"/>
  <c r="CK29" i="13"/>
  <c r="CJ29" i="13"/>
  <c r="BZ46" i="13"/>
  <c r="BZ63" i="13"/>
  <c r="BR46" i="13"/>
  <c r="BR63" i="13"/>
  <c r="BI46" i="13"/>
  <c r="CJ63" i="13"/>
  <c r="CN63" i="13"/>
  <c r="CO29" i="13"/>
  <c r="CV29" i="13"/>
  <c r="CD46" i="13"/>
  <c r="CD63" i="13"/>
  <c r="CG46" i="13"/>
  <c r="CG63" i="13"/>
  <c r="BX46" i="13"/>
  <c r="BX63" i="13"/>
  <c r="CM63" i="13"/>
  <c r="CV63" i="13"/>
  <c r="CT63" i="13"/>
  <c r="CR63" i="13"/>
  <c r="CR29" i="13"/>
  <c r="CU29" i="13"/>
  <c r="CI63" i="13"/>
  <c r="CQ63" i="13"/>
  <c r="CH63" i="13"/>
  <c r="L122" i="1"/>
  <c r="I71" i="7"/>
  <c r="AH43" i="13"/>
  <c r="AH60" i="13"/>
  <c r="BF43" i="13"/>
  <c r="BF60" i="13"/>
  <c r="AO43" i="13"/>
  <c r="AO60" i="13"/>
  <c r="Z43" i="13"/>
  <c r="CG26" i="13"/>
  <c r="AQ43" i="13"/>
  <c r="AQ60" i="13"/>
  <c r="BV26" i="13"/>
  <c r="AA43" i="13"/>
  <c r="AA4" i="13"/>
  <c r="AA60" i="13"/>
  <c r="BP26" i="13"/>
  <c r="AK43" i="13"/>
  <c r="AK60" i="13"/>
  <c r="BG43" i="13"/>
  <c r="BG60" i="13"/>
  <c r="BW26" i="13"/>
  <c r="AZ43" i="13"/>
  <c r="AZ60" i="13"/>
  <c r="AP43" i="13"/>
  <c r="AP60" i="13"/>
  <c r="AN43" i="13"/>
  <c r="AN60" i="13"/>
  <c r="AU43" i="13"/>
  <c r="AU60" i="13"/>
  <c r="BU26" i="13"/>
  <c r="AC43" i="13"/>
  <c r="AC4" i="13"/>
  <c r="AC60" i="13"/>
  <c r="AX43" i="13"/>
  <c r="AX60" i="13"/>
  <c r="BQ26" i="13"/>
  <c r="BA43" i="13"/>
  <c r="BA60" i="13"/>
  <c r="BH43" i="13"/>
  <c r="BH60" i="13"/>
  <c r="BE43" i="13"/>
  <c r="BE60" i="13"/>
  <c r="AT43" i="13"/>
  <c r="AT60" i="13"/>
  <c r="AG43" i="13"/>
  <c r="AG60" i="13"/>
  <c r="BZ26" i="13"/>
  <c r="AE43" i="13"/>
  <c r="AE60" i="13"/>
  <c r="AL43" i="13"/>
  <c r="AL60" i="13"/>
  <c r="AJ43" i="13"/>
  <c r="AJ60" i="13"/>
  <c r="BJ26" i="13"/>
  <c r="CB26" i="13"/>
  <c r="AF43" i="13"/>
  <c r="AF60" i="13"/>
  <c r="BO26" i="13"/>
  <c r="BI26" i="13"/>
  <c r="AI43" i="13"/>
  <c r="AI60" i="13"/>
  <c r="AR43" i="13"/>
  <c r="AR60" i="13"/>
  <c r="CD26" i="13"/>
  <c r="CA26" i="13"/>
  <c r="AY43" i="13"/>
  <c r="AY60" i="13"/>
  <c r="AV43" i="13"/>
  <c r="AV60" i="13"/>
  <c r="CF26" i="13"/>
  <c r="BB43" i="13"/>
  <c r="BB60" i="13"/>
  <c r="AS43" i="13"/>
  <c r="AS60" i="13"/>
  <c r="AD60" i="13"/>
  <c r="BY26" i="13"/>
  <c r="AM43" i="13"/>
  <c r="AM60" i="13"/>
  <c r="CE26" i="13"/>
  <c r="BN26" i="13"/>
  <c r="CC26" i="13"/>
  <c r="AW43" i="13"/>
  <c r="AW60" i="13"/>
  <c r="BL26" i="13"/>
  <c r="BX26" i="13"/>
  <c r="BD43" i="13"/>
  <c r="BD60" i="13"/>
  <c r="AB43" i="13"/>
  <c r="AB4" i="13"/>
  <c r="AB60" i="13"/>
  <c r="BK26" i="13"/>
  <c r="BC43" i="13"/>
  <c r="BC60" i="13"/>
  <c r="BR26" i="13"/>
  <c r="BT26" i="13"/>
  <c r="BM26" i="13"/>
  <c r="BS26" i="13"/>
  <c r="AO10" i="13"/>
  <c r="I10" i="13"/>
  <c r="I66" i="13"/>
  <c r="Z10" i="13"/>
  <c r="G10" i="13"/>
  <c r="G66" i="13"/>
  <c r="H10" i="13"/>
  <c r="H66" i="13"/>
  <c r="S10" i="13"/>
  <c r="S66" i="13"/>
  <c r="AI10" i="13"/>
  <c r="R10" i="13"/>
  <c r="R66" i="13"/>
  <c r="T10" i="13"/>
  <c r="T66" i="13"/>
  <c r="Y10" i="13"/>
  <c r="Y66" i="13"/>
  <c r="AM10" i="13"/>
  <c r="U10" i="13"/>
  <c r="U66" i="13"/>
  <c r="AN10" i="13"/>
  <c r="AG10" i="13"/>
  <c r="N10" i="13"/>
  <c r="N66" i="13"/>
  <c r="X10" i="13"/>
  <c r="X66" i="13"/>
  <c r="AA10" i="13"/>
  <c r="K10" i="13"/>
  <c r="K66" i="13"/>
  <c r="Q10" i="13"/>
  <c r="Q66" i="13"/>
  <c r="W10" i="13"/>
  <c r="W66" i="13"/>
  <c r="AD10" i="13"/>
  <c r="AB10" i="13"/>
  <c r="AL10" i="13"/>
  <c r="AP10" i="13"/>
  <c r="L10" i="13"/>
  <c r="L66" i="13"/>
  <c r="AF10" i="13"/>
  <c r="O10" i="13"/>
  <c r="O66" i="13"/>
  <c r="AE10" i="13"/>
  <c r="AQ10" i="13"/>
  <c r="AC10" i="13"/>
  <c r="AH10" i="13"/>
  <c r="AK10" i="13"/>
  <c r="F10" i="13"/>
  <c r="F66" i="13"/>
  <c r="M10" i="13"/>
  <c r="M66" i="13"/>
  <c r="AR10" i="13"/>
  <c r="V10" i="13"/>
  <c r="V66" i="13"/>
  <c r="J10" i="13"/>
  <c r="J66" i="13"/>
  <c r="P10" i="13"/>
  <c r="P66" i="13"/>
  <c r="AJ10" i="13"/>
  <c r="BN45" i="13"/>
  <c r="BT45" i="13"/>
  <c r="BJ45" i="13"/>
  <c r="CG45" i="13"/>
  <c r="BP45" i="13"/>
  <c r="BM45" i="13"/>
  <c r="BS45" i="13"/>
  <c r="BW45" i="13"/>
  <c r="BV45" i="13"/>
  <c r="BQ45" i="13"/>
  <c r="BK45" i="13"/>
  <c r="BI45" i="13"/>
  <c r="CB45" i="13"/>
  <c r="BZ45" i="13"/>
  <c r="BL45" i="13"/>
  <c r="BX45" i="13"/>
  <c r="BO45" i="13"/>
  <c r="CD45" i="13"/>
  <c r="CT28" i="13"/>
  <c r="CI28" i="13"/>
  <c r="CV28" i="13"/>
  <c r="CM28" i="13"/>
  <c r="CL28" i="13"/>
  <c r="CP28" i="13"/>
  <c r="CQ28" i="13"/>
  <c r="CS28" i="13"/>
  <c r="BR45" i="13"/>
  <c r="BY45" i="13"/>
  <c r="CA45" i="13"/>
  <c r="CE45" i="13"/>
  <c r="CC45" i="13"/>
  <c r="CF45" i="13"/>
  <c r="CR28" i="13"/>
  <c r="CO28" i="13"/>
  <c r="CJ28" i="13"/>
  <c r="CH28" i="13"/>
  <c r="CU28" i="13"/>
  <c r="CN28" i="13"/>
  <c r="CK28" i="13"/>
  <c r="BJ30" i="13"/>
  <c r="AJ47" i="13"/>
  <c r="AJ64" i="13"/>
  <c r="AG47" i="13"/>
  <c r="AG64" i="13"/>
  <c r="BU30" i="13"/>
  <c r="BY30" i="13"/>
  <c r="AQ47" i="13"/>
  <c r="AQ64" i="13"/>
  <c r="BB47" i="13"/>
  <c r="BB64" i="13"/>
  <c r="CF30" i="13"/>
  <c r="BF47" i="13"/>
  <c r="BF64" i="13"/>
  <c r="AN47" i="13"/>
  <c r="AN64" i="13"/>
  <c r="AK47" i="13"/>
  <c r="AK64" i="13"/>
  <c r="AI47" i="13"/>
  <c r="AI64" i="13"/>
  <c r="AV47" i="13"/>
  <c r="AV64" i="13"/>
  <c r="BM30" i="13"/>
  <c r="CE30" i="13"/>
  <c r="BN30" i="13"/>
  <c r="AZ47" i="13"/>
  <c r="AZ64" i="13"/>
  <c r="BV30" i="13"/>
  <c r="BX30" i="13"/>
  <c r="BP30" i="13"/>
  <c r="BD47" i="13"/>
  <c r="BD64" i="13"/>
  <c r="AR47" i="13"/>
  <c r="AR64" i="13"/>
  <c r="AE47" i="13"/>
  <c r="AE64" i="13"/>
  <c r="AX47" i="13"/>
  <c r="AX64" i="13"/>
  <c r="CD30" i="13"/>
  <c r="BT30" i="13"/>
  <c r="AW47" i="13"/>
  <c r="AW64" i="13"/>
  <c r="AD64" i="13"/>
  <c r="BL30" i="13"/>
  <c r="CA30" i="13"/>
  <c r="BR30" i="13"/>
  <c r="BH47" i="13"/>
  <c r="BH64" i="13"/>
  <c r="BS30" i="13"/>
  <c r="BQ30" i="13"/>
  <c r="CG30" i="13"/>
  <c r="AF47" i="13"/>
  <c r="AF64" i="13"/>
  <c r="AC47" i="13"/>
  <c r="AC8" i="13"/>
  <c r="AC64" i="13"/>
  <c r="BW30" i="13"/>
  <c r="BK30" i="13"/>
  <c r="AT47" i="13"/>
  <c r="AT64" i="13"/>
  <c r="AA47" i="13"/>
  <c r="AA8" i="13"/>
  <c r="AA64" i="13"/>
  <c r="AO47" i="13"/>
  <c r="AO64" i="13"/>
  <c r="AM47" i="13"/>
  <c r="AM64" i="13"/>
  <c r="AS47" i="13"/>
  <c r="AS64" i="13"/>
  <c r="BI30" i="13"/>
  <c r="AU47" i="13"/>
  <c r="AU64" i="13"/>
  <c r="BE47" i="13"/>
  <c r="BE64" i="13"/>
  <c r="AB47" i="13"/>
  <c r="AB8" i="13"/>
  <c r="AB64" i="13"/>
  <c r="AL47" i="13"/>
  <c r="AL64" i="13"/>
  <c r="BG47" i="13"/>
  <c r="BG64" i="13"/>
  <c r="AH47" i="13"/>
  <c r="AH64" i="13"/>
  <c r="BC47" i="13"/>
  <c r="BC64" i="13"/>
  <c r="AY47" i="13"/>
  <c r="AY64" i="13"/>
  <c r="BZ30" i="13"/>
  <c r="AP47" i="13"/>
  <c r="AP64" i="13"/>
  <c r="BA47" i="13"/>
  <c r="BA64" i="13"/>
  <c r="Z47" i="13"/>
  <c r="BO30" i="13"/>
  <c r="CB30" i="13"/>
  <c r="CC30" i="13"/>
  <c r="I67" i="8"/>
  <c r="I73" i="8"/>
  <c r="BK31" i="13"/>
  <c r="AQ48" i="13"/>
  <c r="AQ65" i="13"/>
  <c r="BE48" i="13"/>
  <c r="BE65" i="13"/>
  <c r="CC31" i="13"/>
  <c r="BP31" i="13"/>
  <c r="BR31" i="13"/>
  <c r="BQ31" i="13"/>
  <c r="AV48" i="13"/>
  <c r="AV65" i="13"/>
  <c r="AC48" i="13"/>
  <c r="AC9" i="13"/>
  <c r="AC65" i="13"/>
  <c r="BD48" i="13"/>
  <c r="BD65" i="13"/>
  <c r="BS31" i="13"/>
  <c r="CB31" i="13"/>
  <c r="CA31" i="13"/>
  <c r="CF31" i="13"/>
  <c r="AL48" i="13"/>
  <c r="AL65" i="13"/>
  <c r="BH48" i="13"/>
  <c r="BH65" i="13"/>
  <c r="AR48" i="13"/>
  <c r="AR65" i="13"/>
  <c r="BF48" i="13"/>
  <c r="BF65" i="13"/>
  <c r="BT31" i="13"/>
  <c r="CG31" i="13"/>
  <c r="AK48" i="13"/>
  <c r="AK65" i="13"/>
  <c r="BB48" i="13"/>
  <c r="BB65" i="13"/>
  <c r="AB48" i="13"/>
  <c r="AB9" i="13"/>
  <c r="AB65" i="13"/>
  <c r="BC48" i="13"/>
  <c r="BC65" i="13"/>
  <c r="BV31" i="13"/>
  <c r="BI31" i="13"/>
  <c r="BU31" i="13"/>
  <c r="CD31" i="13"/>
  <c r="BM31" i="13"/>
  <c r="AW48" i="13"/>
  <c r="AW65" i="13"/>
  <c r="AY48" i="13"/>
  <c r="AY65" i="13"/>
  <c r="AG48" i="13"/>
  <c r="AG65" i="13"/>
  <c r="AX48" i="13"/>
  <c r="AX65" i="13"/>
  <c r="AE48" i="13"/>
  <c r="AE65" i="13"/>
  <c r="AH48" i="13"/>
  <c r="AH65" i="13"/>
  <c r="BG48" i="13"/>
  <c r="BG65" i="13"/>
  <c r="AN48" i="13"/>
  <c r="AN65" i="13"/>
  <c r="BX31" i="13"/>
  <c r="CD65" i="13"/>
  <c r="CG65" i="13"/>
  <c r="CF65" i="13"/>
  <c r="CE31" i="13"/>
  <c r="BJ31" i="13"/>
  <c r="BO31" i="13"/>
  <c r="CB65" i="13"/>
  <c r="BJ65" i="13"/>
  <c r="BO65" i="13"/>
  <c r="CE65" i="13"/>
  <c r="BI65" i="13"/>
  <c r="BY31" i="13"/>
  <c r="BN31" i="13"/>
  <c r="AF48" i="13"/>
  <c r="AF65" i="13"/>
  <c r="AT48" i="13"/>
  <c r="AT65" i="13"/>
  <c r="AI48" i="13"/>
  <c r="AI65" i="13"/>
  <c r="AO48" i="13"/>
  <c r="AO65" i="13"/>
  <c r="AZ48" i="13"/>
  <c r="AZ65" i="13"/>
  <c r="AJ48" i="13"/>
  <c r="AJ65" i="13"/>
  <c r="AP48" i="13"/>
  <c r="AP65" i="13"/>
  <c r="AD65" i="13"/>
  <c r="AM48" i="13"/>
  <c r="AM65" i="13"/>
  <c r="BW31" i="13"/>
  <c r="BP65" i="13"/>
  <c r="BQ65" i="13"/>
  <c r="BX65" i="13"/>
  <c r="BS65" i="13"/>
  <c r="BN65" i="13"/>
  <c r="BA48" i="13"/>
  <c r="BA65" i="13"/>
  <c r="AU48" i="13"/>
  <c r="AU65" i="13"/>
  <c r="AS48" i="13"/>
  <c r="AS65" i="13"/>
  <c r="AA48" i="13"/>
  <c r="AA9" i="13"/>
  <c r="AA65" i="13"/>
  <c r="Z48" i="13"/>
  <c r="BZ31" i="13"/>
  <c r="BL31" i="13"/>
  <c r="BY65" i="13"/>
  <c r="BU65" i="13"/>
  <c r="BZ65" i="13"/>
  <c r="BL65" i="13"/>
  <c r="CA65" i="13"/>
  <c r="CC65" i="13"/>
  <c r="BR65" i="13"/>
  <c r="BM65" i="13"/>
  <c r="BT65" i="13"/>
  <c r="BW65" i="13"/>
  <c r="BK65" i="13"/>
  <c r="BV65" i="13"/>
  <c r="BM12" i="13"/>
  <c r="BT12" i="13"/>
  <c r="AV12" i="13"/>
  <c r="BQ12" i="13"/>
  <c r="BF12" i="13"/>
  <c r="BC12" i="13"/>
  <c r="BG12" i="13"/>
  <c r="BN12" i="13"/>
  <c r="BI12" i="13"/>
  <c r="BU12" i="13"/>
  <c r="AY12" i="13"/>
  <c r="BL12" i="13"/>
  <c r="BK12" i="13"/>
  <c r="AT12" i="13"/>
  <c r="BS12" i="13"/>
  <c r="AX12" i="13"/>
  <c r="AZ12" i="13"/>
  <c r="BH12" i="13"/>
  <c r="BJ12" i="13"/>
  <c r="BD12" i="13"/>
  <c r="BA12" i="13"/>
  <c r="BR12" i="13"/>
  <c r="AW12" i="13"/>
  <c r="BO12" i="13"/>
  <c r="BB12" i="13"/>
  <c r="BE12" i="13"/>
  <c r="AS12" i="13"/>
  <c r="AU12" i="13"/>
  <c r="BV12" i="13"/>
  <c r="BP12" i="13"/>
  <c r="AW15" i="13"/>
  <c r="BC15" i="13"/>
  <c r="AU15" i="13"/>
  <c r="BD15" i="13"/>
  <c r="BA15" i="13"/>
  <c r="BN15" i="13"/>
  <c r="BL15" i="13"/>
  <c r="BS15" i="13"/>
  <c r="BK15" i="13"/>
  <c r="BU15" i="13"/>
  <c r="AZ15" i="13"/>
  <c r="BH15" i="13"/>
  <c r="BP15" i="13"/>
  <c r="BO15" i="13"/>
  <c r="BF15" i="13"/>
  <c r="AX15" i="13"/>
  <c r="BB15" i="13"/>
  <c r="BJ15" i="13"/>
  <c r="BR15" i="13"/>
  <c r="AY15" i="13"/>
  <c r="BE15" i="13"/>
  <c r="BI15" i="13"/>
  <c r="AV15" i="13"/>
  <c r="AT15" i="13"/>
  <c r="AS15" i="13"/>
  <c r="BM15" i="13"/>
  <c r="BV15" i="13"/>
  <c r="BQ15" i="13"/>
  <c r="BG15" i="13"/>
  <c r="BT15" i="13"/>
  <c r="BX28" i="13"/>
  <c r="BM28" i="13"/>
  <c r="AR45" i="13"/>
  <c r="AR62" i="13"/>
  <c r="AC45" i="13"/>
  <c r="AC62" i="13"/>
  <c r="AW45" i="13"/>
  <c r="AW62" i="13"/>
  <c r="AS45" i="13"/>
  <c r="AS62" i="13"/>
  <c r="BU28" i="13"/>
  <c r="AF45" i="13"/>
  <c r="AF62" i="13"/>
  <c r="AI45" i="13"/>
  <c r="AI62" i="13"/>
  <c r="AT45" i="13"/>
  <c r="AT62" i="13"/>
  <c r="BH45" i="13"/>
  <c r="BH62" i="13"/>
  <c r="BI28" i="13"/>
  <c r="BJ62" i="13"/>
  <c r="CG62" i="13"/>
  <c r="BQ28" i="13"/>
  <c r="BV28" i="13"/>
  <c r="BJ28" i="13"/>
  <c r="BY28" i="13"/>
  <c r="Z45" i="13"/>
  <c r="BR28" i="13"/>
  <c r="BB45" i="13"/>
  <c r="BB62" i="13"/>
  <c r="AB45" i="13"/>
  <c r="AB62" i="13"/>
  <c r="AH45" i="13"/>
  <c r="AH62" i="13"/>
  <c r="AZ45" i="13"/>
  <c r="AZ62" i="13"/>
  <c r="AK45" i="13"/>
  <c r="AK62" i="13"/>
  <c r="AP45" i="13"/>
  <c r="AP62" i="13"/>
  <c r="BG45" i="13"/>
  <c r="BG62" i="13"/>
  <c r="BO28" i="13"/>
  <c r="BC45" i="13"/>
  <c r="BC62" i="13"/>
  <c r="AD62" i="13"/>
  <c r="AU45" i="13"/>
  <c r="AU62" i="13"/>
  <c r="AG45" i="13"/>
  <c r="AG62" i="13"/>
  <c r="AQ45" i="13"/>
  <c r="AQ62" i="13"/>
  <c r="AE45" i="13"/>
  <c r="AE62" i="13"/>
  <c r="AN45" i="13"/>
  <c r="AN62" i="13"/>
  <c r="AX45" i="13"/>
  <c r="AX62" i="13"/>
  <c r="AL45" i="13"/>
  <c r="AL62" i="13"/>
  <c r="BE45" i="13"/>
  <c r="BE62" i="13"/>
  <c r="BW28" i="13"/>
  <c r="BN62" i="13"/>
  <c r="BT62" i="13"/>
  <c r="BU62" i="13"/>
  <c r="CA28" i="13"/>
  <c r="BP28" i="13"/>
  <c r="BT28" i="13"/>
  <c r="CD28" i="13"/>
  <c r="CF28" i="13"/>
  <c r="CE28" i="13"/>
  <c r="BZ28" i="13"/>
  <c r="CB28" i="13"/>
  <c r="BD45" i="13"/>
  <c r="BD62" i="13"/>
  <c r="AJ45" i="13"/>
  <c r="AJ62" i="13"/>
  <c r="BA45" i="13"/>
  <c r="BA62" i="13"/>
  <c r="AV45" i="13"/>
  <c r="AV62" i="13"/>
  <c r="BR62" i="13"/>
  <c r="BY62" i="13"/>
  <c r="CA62" i="13"/>
  <c r="CE62" i="13"/>
  <c r="CC62" i="13"/>
  <c r="CF62" i="13"/>
  <c r="BL28" i="13"/>
  <c r="BN28" i="13"/>
  <c r="CC28" i="13"/>
  <c r="BP62" i="13"/>
  <c r="AY45" i="13"/>
  <c r="AY62" i="13"/>
  <c r="AO45" i="13"/>
  <c r="AO62" i="13"/>
  <c r="BF45" i="13"/>
  <c r="BF62" i="13"/>
  <c r="AA45" i="13"/>
  <c r="AA62" i="13"/>
  <c r="AM45" i="13"/>
  <c r="AM62" i="13"/>
  <c r="BS28" i="13"/>
  <c r="BK28" i="13"/>
  <c r="CG28" i="13"/>
  <c r="BM62" i="13"/>
  <c r="BS62" i="13"/>
  <c r="BW62" i="13"/>
  <c r="BV62" i="13"/>
  <c r="BQ62" i="13"/>
  <c r="BK62" i="13"/>
  <c r="CB62" i="13"/>
  <c r="BZ62" i="13"/>
  <c r="BL62" i="13"/>
  <c r="BX62" i="13"/>
  <c r="BO62" i="13"/>
  <c r="CD62" i="13"/>
  <c r="BI62" i="13"/>
  <c r="G4" i="13"/>
  <c r="G60" i="13"/>
  <c r="AF4" i="13"/>
  <c r="AN4" i="13"/>
  <c r="AL4" i="13"/>
  <c r="X4" i="13"/>
  <c r="X60" i="13"/>
  <c r="F4" i="13"/>
  <c r="F60" i="13"/>
  <c r="P4" i="13"/>
  <c r="P60" i="13"/>
  <c r="AG4" i="13"/>
  <c r="AK4" i="13"/>
  <c r="J4" i="13"/>
  <c r="J60" i="13"/>
  <c r="U4" i="13"/>
  <c r="U60" i="13"/>
  <c r="T4" i="13"/>
  <c r="T60" i="13"/>
  <c r="AH4" i="13"/>
  <c r="M4" i="13"/>
  <c r="M60" i="13"/>
  <c r="Q4" i="13"/>
  <c r="Q60" i="13"/>
  <c r="AJ4" i="13"/>
  <c r="W4" i="13"/>
  <c r="W60" i="13"/>
  <c r="O4" i="13"/>
  <c r="O60" i="13"/>
  <c r="K4" i="13"/>
  <c r="K60" i="13"/>
  <c r="AQ4" i="13"/>
  <c r="V4" i="13"/>
  <c r="V60" i="13"/>
  <c r="N4" i="13"/>
  <c r="N60" i="13"/>
  <c r="R4" i="13"/>
  <c r="R60" i="13"/>
  <c r="AI4" i="13"/>
  <c r="AD4" i="13"/>
  <c r="H4" i="13"/>
  <c r="H60" i="13"/>
  <c r="S4" i="13"/>
  <c r="S60" i="13"/>
  <c r="Z4" i="13"/>
  <c r="AE4" i="13"/>
  <c r="I4" i="13"/>
  <c r="I60" i="13"/>
  <c r="AO4" i="13"/>
  <c r="AR4" i="13"/>
  <c r="Y4" i="13"/>
  <c r="Y60" i="13"/>
  <c r="L4" i="13"/>
  <c r="L60" i="13"/>
  <c r="AP4" i="13"/>
  <c r="AM4" i="13"/>
  <c r="N8" i="13"/>
  <c r="N64" i="13"/>
  <c r="T8" i="13"/>
  <c r="T64" i="13"/>
  <c r="Q8" i="13"/>
  <c r="Q64" i="13"/>
  <c r="O8" i="13"/>
  <c r="O64" i="13"/>
  <c r="AH8" i="13"/>
  <c r="AO8" i="13"/>
  <c r="AG8" i="13"/>
  <c r="I8" i="13"/>
  <c r="I64" i="13"/>
  <c r="AM8" i="13"/>
  <c r="AR8" i="13"/>
  <c r="AK8" i="13"/>
  <c r="W8" i="13"/>
  <c r="W64" i="13"/>
  <c r="AL8" i="13"/>
  <c r="S8" i="13"/>
  <c r="S64" i="13"/>
  <c r="AI8" i="13"/>
  <c r="X8" i="13"/>
  <c r="X64" i="13"/>
  <c r="V8" i="13"/>
  <c r="V64" i="13"/>
  <c r="AJ8" i="13"/>
  <c r="G8" i="13"/>
  <c r="G64" i="13"/>
  <c r="U8" i="13"/>
  <c r="U64" i="13"/>
  <c r="K8" i="13"/>
  <c r="K64" i="13"/>
  <c r="AE8" i="13"/>
  <c r="P8" i="13"/>
  <c r="P64" i="13"/>
  <c r="AD8" i="13"/>
  <c r="L8" i="13"/>
  <c r="L64" i="13"/>
  <c r="F8" i="13"/>
  <c r="F64" i="13"/>
  <c r="H8" i="13"/>
  <c r="H64" i="13"/>
  <c r="M8" i="13"/>
  <c r="M64" i="13"/>
  <c r="AF8" i="13"/>
  <c r="AN8" i="13"/>
  <c r="J8" i="13"/>
  <c r="J64" i="13"/>
  <c r="AQ8" i="13"/>
  <c r="R8" i="13"/>
  <c r="R64" i="13"/>
  <c r="Z8" i="13"/>
  <c r="Y8" i="13"/>
  <c r="Y64" i="13"/>
  <c r="AP8" i="13"/>
  <c r="S33" i="13"/>
  <c r="N33" i="13"/>
  <c r="BH33" i="13"/>
  <c r="AV33" i="13"/>
  <c r="AN33" i="13"/>
  <c r="AF33" i="13"/>
  <c r="AZ33" i="13"/>
  <c r="G33" i="13"/>
  <c r="H33" i="13"/>
  <c r="BG33" i="13"/>
  <c r="BC33" i="13"/>
  <c r="AA67" i="13"/>
  <c r="AH67" i="13"/>
  <c r="AR67" i="13"/>
  <c r="AR33" i="13"/>
  <c r="BD33" i="13"/>
  <c r="V33" i="13"/>
  <c r="R33" i="13"/>
  <c r="J33" i="13"/>
  <c r="Z33" i="13"/>
  <c r="AO33" i="13"/>
  <c r="BB33" i="13"/>
  <c r="AX33" i="13"/>
  <c r="O33" i="13"/>
  <c r="L33" i="13"/>
  <c r="I33" i="13"/>
  <c r="AE33" i="13"/>
  <c r="AH33" i="13"/>
  <c r="AZ67" i="13"/>
  <c r="AD67" i="13"/>
  <c r="BD67" i="13"/>
  <c r="AK33" i="13"/>
  <c r="AS33" i="13"/>
  <c r="T33" i="13"/>
  <c r="P33" i="13"/>
  <c r="X33" i="13"/>
  <c r="AG33" i="13"/>
  <c r="AW33" i="13"/>
  <c r="BG67" i="13"/>
  <c r="AK67" i="13"/>
  <c r="AG67" i="13"/>
  <c r="AT67" i="13"/>
  <c r="AB33" i="13"/>
  <c r="AA33" i="13"/>
  <c r="AI33" i="13"/>
  <c r="Y33" i="13"/>
  <c r="W33" i="13"/>
  <c r="AM33" i="13"/>
  <c r="AJ33" i="13"/>
  <c r="AP33" i="13"/>
  <c r="AP67" i="13"/>
  <c r="AV67" i="13"/>
  <c r="BC67" i="13"/>
  <c r="BH67" i="13"/>
  <c r="AN67" i="13"/>
  <c r="BA67" i="13"/>
  <c r="AI67" i="13"/>
  <c r="AL67" i="13"/>
  <c r="BF33" i="13"/>
  <c r="BE33" i="13"/>
  <c r="F33" i="13"/>
  <c r="U33" i="13"/>
  <c r="AC33" i="13"/>
  <c r="AY33" i="13"/>
  <c r="BF67" i="13"/>
  <c r="AM67" i="13"/>
  <c r="AO67" i="13"/>
  <c r="AC67" i="13"/>
  <c r="AJ67" i="13"/>
  <c r="AY67" i="13"/>
  <c r="AD33" i="13"/>
  <c r="AL33" i="13"/>
  <c r="M33" i="13"/>
  <c r="K33" i="13"/>
  <c r="Q33" i="13"/>
  <c r="AT33" i="13"/>
  <c r="BA33" i="13"/>
  <c r="AQ67" i="13"/>
  <c r="BE67" i="13"/>
  <c r="AB67" i="13"/>
  <c r="BB67" i="13"/>
  <c r="AU67" i="13"/>
  <c r="AE67" i="13"/>
  <c r="AX67" i="13"/>
  <c r="AW67" i="13"/>
  <c r="AF67" i="13"/>
  <c r="AS67" i="13"/>
  <c r="AU33" i="13"/>
  <c r="AQ33" i="13"/>
  <c r="Z67" i="13"/>
  <c r="M14" i="13"/>
  <c r="M70" i="13"/>
  <c r="U14" i="13"/>
  <c r="U70" i="13"/>
  <c r="F14" i="13"/>
  <c r="F70" i="13"/>
  <c r="AQ14" i="13"/>
  <c r="AK14" i="13"/>
  <c r="H14" i="13"/>
  <c r="H70" i="13"/>
  <c r="W14" i="13"/>
  <c r="W70" i="13"/>
  <c r="AD14" i="13"/>
  <c r="O14" i="13"/>
  <c r="O70" i="13"/>
  <c r="N14" i="13"/>
  <c r="N70" i="13"/>
  <c r="AP14" i="13"/>
  <c r="P14" i="13"/>
  <c r="P70" i="13"/>
  <c r="AF14" i="13"/>
  <c r="I14" i="13"/>
  <c r="I70" i="13"/>
  <c r="T14" i="13"/>
  <c r="T70" i="13"/>
  <c r="AI14" i="13"/>
  <c r="K14" i="13"/>
  <c r="K70" i="13"/>
  <c r="AE14" i="13"/>
  <c r="AO14" i="13"/>
  <c r="R14" i="13"/>
  <c r="R70" i="13"/>
  <c r="AL14" i="13"/>
  <c r="AM14" i="13"/>
  <c r="AH14" i="13"/>
  <c r="AG14" i="13"/>
  <c r="S14" i="13"/>
  <c r="S70" i="13"/>
  <c r="Q14" i="13"/>
  <c r="Q70" i="13"/>
  <c r="J14" i="13"/>
  <c r="J70" i="13"/>
  <c r="AJ14" i="13"/>
  <c r="G14" i="13"/>
  <c r="G70" i="13"/>
  <c r="Y14" i="13"/>
  <c r="Y70" i="13"/>
  <c r="X14" i="13"/>
  <c r="X70" i="13"/>
  <c r="L14" i="13"/>
  <c r="L70" i="13"/>
  <c r="V14" i="13"/>
  <c r="V70" i="13"/>
  <c r="AN14" i="13"/>
  <c r="AR14" i="13"/>
  <c r="CK43" i="13"/>
  <c r="CK60" i="13"/>
  <c r="CP43" i="13"/>
  <c r="CT43" i="13"/>
  <c r="CT60" i="13"/>
  <c r="CN43" i="13"/>
  <c r="CU26" i="13"/>
  <c r="CN26" i="13"/>
  <c r="BK43" i="13"/>
  <c r="BK60" i="13"/>
  <c r="CC43" i="13"/>
  <c r="CC60" i="13"/>
  <c r="CU43" i="13"/>
  <c r="CU60" i="13"/>
  <c r="CV43" i="13"/>
  <c r="CK26" i="13"/>
  <c r="BY43" i="13"/>
  <c r="BY60" i="13"/>
  <c r="CG43" i="13"/>
  <c r="CG60" i="13"/>
  <c r="CA43" i="13"/>
  <c r="CA60" i="13"/>
  <c r="BO43" i="13"/>
  <c r="BO60" i="13"/>
  <c r="BL43" i="13"/>
  <c r="BL60" i="13"/>
  <c r="BZ43" i="13"/>
  <c r="BZ60" i="13"/>
  <c r="CH43" i="13"/>
  <c r="CH60" i="13"/>
  <c r="CO43" i="13"/>
  <c r="CO60" i="13"/>
  <c r="CP60" i="13"/>
  <c r="CN60" i="13"/>
  <c r="CO26" i="13"/>
  <c r="CL26" i="13"/>
  <c r="BS43" i="13"/>
  <c r="BS60" i="13"/>
  <c r="BM43" i="13"/>
  <c r="BM60" i="13"/>
  <c r="CE43" i="13"/>
  <c r="CE60" i="13"/>
  <c r="BW43" i="13"/>
  <c r="BW60" i="13"/>
  <c r="CS43" i="13"/>
  <c r="CV60" i="13"/>
  <c r="CQ43" i="13"/>
  <c r="CQ60" i="13"/>
  <c r="CT26" i="13"/>
  <c r="CI26" i="13"/>
  <c r="BR43" i="13"/>
  <c r="BR60" i="13"/>
  <c r="BU60" i="13"/>
  <c r="CR60" i="13"/>
  <c r="CM43" i="13"/>
  <c r="CM26" i="13"/>
  <c r="CV26" i="13"/>
  <c r="CB43" i="13"/>
  <c r="CB60" i="13"/>
  <c r="BT43" i="13"/>
  <c r="BT60" i="13"/>
  <c r="BP43" i="13"/>
  <c r="BP60" i="13"/>
  <c r="BJ43" i="13"/>
  <c r="BJ60" i="13"/>
  <c r="CF43" i="13"/>
  <c r="CF60" i="13"/>
  <c r="BI43" i="13"/>
  <c r="BV43" i="13"/>
  <c r="BV60" i="13"/>
  <c r="CL43" i="13"/>
  <c r="CL60" i="13"/>
  <c r="CH26" i="13"/>
  <c r="CJ26" i="13"/>
  <c r="BN43" i="13"/>
  <c r="BN60" i="13"/>
  <c r="BQ43" i="13"/>
  <c r="BQ60" i="13"/>
  <c r="BX43" i="13"/>
  <c r="BX60" i="13"/>
  <c r="CM60" i="13"/>
  <c r="CS26" i="13"/>
  <c r="CQ26" i="13"/>
  <c r="CS60" i="13"/>
  <c r="CJ43" i="13"/>
  <c r="CJ60" i="13"/>
  <c r="CI43" i="13"/>
  <c r="CI60" i="13"/>
  <c r="CR26" i="13"/>
  <c r="CP26" i="13"/>
  <c r="CD43" i="13"/>
  <c r="CD60" i="13"/>
  <c r="CR30" i="13"/>
  <c r="CK30" i="13"/>
  <c r="CE47" i="13"/>
  <c r="CE64" i="13"/>
  <c r="CF47" i="13"/>
  <c r="CF64" i="13"/>
  <c r="BO47" i="13"/>
  <c r="BO64" i="13"/>
  <c r="BU64" i="13"/>
  <c r="BN47" i="13"/>
  <c r="BN64" i="13"/>
  <c r="BS47" i="13"/>
  <c r="BS64" i="13"/>
  <c r="CH30" i="13"/>
  <c r="CI30" i="13"/>
  <c r="BZ47" i="13"/>
  <c r="BZ64" i="13"/>
  <c r="CA47" i="13"/>
  <c r="CA64" i="13"/>
  <c r="BP47" i="13"/>
  <c r="BP64" i="13"/>
  <c r="BI47" i="13"/>
  <c r="CB47" i="13"/>
  <c r="CB64" i="13"/>
  <c r="CD47" i="13"/>
  <c r="CD64" i="13"/>
  <c r="BR47" i="13"/>
  <c r="BR64" i="13"/>
  <c r="CJ30" i="13"/>
  <c r="CV30" i="13"/>
  <c r="CS30" i="13"/>
  <c r="CN30" i="13"/>
  <c r="BV47" i="13"/>
  <c r="BV64" i="13"/>
  <c r="BK47" i="13"/>
  <c r="BK64" i="13"/>
  <c r="BY47" i="13"/>
  <c r="BY64" i="13"/>
  <c r="BL47" i="13"/>
  <c r="BL64" i="13"/>
  <c r="CC47" i="13"/>
  <c r="CC64" i="13"/>
  <c r="BW47" i="13"/>
  <c r="BW64" i="13"/>
  <c r="CP47" i="13"/>
  <c r="CS47" i="13"/>
  <c r="CS64" i="13"/>
  <c r="CO30" i="13"/>
  <c r="BX47" i="13"/>
  <c r="BX64" i="13"/>
  <c r="BT47" i="13"/>
  <c r="BT64" i="13"/>
  <c r="CG47" i="13"/>
  <c r="CG64" i="13"/>
  <c r="BM47" i="13"/>
  <c r="BM64" i="13"/>
  <c r="BQ47" i="13"/>
  <c r="BQ64" i="13"/>
  <c r="BJ47" i="13"/>
  <c r="BJ64" i="13"/>
  <c r="CL47" i="13"/>
  <c r="CL64" i="13"/>
  <c r="CO47" i="13"/>
  <c r="CO64" i="13"/>
  <c r="CK47" i="13"/>
  <c r="CK64" i="13"/>
  <c r="CL30" i="13"/>
  <c r="CU30" i="13"/>
  <c r="CT47" i="13"/>
  <c r="CI47" i="13"/>
  <c r="CU47" i="13"/>
  <c r="CV47" i="13"/>
  <c r="CV64" i="13"/>
  <c r="CN47" i="13"/>
  <c r="CN64" i="13"/>
  <c r="CM30" i="13"/>
  <c r="CP30" i="13"/>
  <c r="CP64" i="13"/>
  <c r="CQ47" i="13"/>
  <c r="CQ64" i="13"/>
  <c r="CT64" i="13"/>
  <c r="CI64" i="13"/>
  <c r="CU64" i="13"/>
  <c r="CJ47" i="13"/>
  <c r="CJ64" i="13"/>
  <c r="CH47" i="13"/>
  <c r="CT30" i="13"/>
  <c r="CQ30" i="13"/>
  <c r="CM47" i="13"/>
  <c r="CM64" i="13"/>
  <c r="CR64" i="13"/>
  <c r="CG11" i="13"/>
  <c r="BZ11" i="13"/>
  <c r="CK11" i="13"/>
  <c r="CP11" i="13"/>
  <c r="CN11" i="13"/>
  <c r="CH11" i="13"/>
  <c r="CE11" i="13"/>
  <c r="CO11" i="13"/>
  <c r="CJ11" i="13"/>
  <c r="CI11" i="13"/>
  <c r="CB11" i="13"/>
  <c r="CF11" i="13"/>
  <c r="CL11" i="13"/>
  <c r="BW11" i="13"/>
  <c r="CA11" i="13"/>
  <c r="CC11" i="13"/>
  <c r="CD11" i="13"/>
  <c r="BX11" i="13"/>
  <c r="CM11" i="13"/>
  <c r="BY11" i="13"/>
  <c r="CH36" i="13"/>
  <c r="CV36" i="13"/>
  <c r="CJ36" i="13"/>
  <c r="CU36" i="13"/>
  <c r="CR36" i="13"/>
  <c r="CK36" i="13"/>
  <c r="CL36" i="13"/>
  <c r="CP36" i="13"/>
  <c r="CI36" i="13"/>
  <c r="CM36" i="13"/>
  <c r="CM53" i="13"/>
  <c r="CM70" i="13"/>
  <c r="CV53" i="13"/>
  <c r="CV70" i="13"/>
  <c r="CN53" i="13"/>
  <c r="CN36" i="13"/>
  <c r="CO36" i="13"/>
  <c r="CH53" i="13"/>
  <c r="CK53" i="13"/>
  <c r="CK70" i="13"/>
  <c r="CJ53" i="13"/>
  <c r="CT53" i="13"/>
  <c r="CT70" i="13"/>
  <c r="CQ53" i="13"/>
  <c r="CR70" i="13"/>
  <c r="CS36" i="13"/>
  <c r="CQ36" i="13"/>
  <c r="CS53" i="13"/>
  <c r="CS70" i="13"/>
  <c r="CN70" i="13"/>
  <c r="CT36" i="13"/>
  <c r="CU53" i="13"/>
  <c r="CU70" i="13"/>
  <c r="CJ70" i="13"/>
  <c r="CQ70" i="13"/>
  <c r="CP53" i="13"/>
  <c r="CL53" i="13"/>
  <c r="CI53" i="13"/>
  <c r="CO53" i="13"/>
  <c r="CP70" i="13"/>
  <c r="CL70" i="13"/>
  <c r="CI70" i="13"/>
  <c r="CO70" i="13"/>
  <c r="CH70" i="13"/>
  <c r="BK53" i="13"/>
  <c r="BK70" i="13"/>
  <c r="BI53" i="13"/>
  <c r="BX53" i="13"/>
  <c r="BX70" i="13"/>
  <c r="BT53" i="13"/>
  <c r="BT70" i="13"/>
  <c r="CG53" i="13"/>
  <c r="CG70" i="13"/>
  <c r="BW53" i="13"/>
  <c r="BW70" i="13"/>
  <c r="BY53" i="13"/>
  <c r="BY70" i="13"/>
  <c r="BJ53" i="13"/>
  <c r="BJ70" i="13"/>
  <c r="CF53" i="13"/>
  <c r="CF70" i="13"/>
  <c r="BO53" i="13"/>
  <c r="BO70" i="13"/>
  <c r="BR53" i="13"/>
  <c r="BR70" i="13"/>
  <c r="CE53" i="13"/>
  <c r="CE70" i="13"/>
  <c r="BP53" i="13"/>
  <c r="BP70" i="13"/>
  <c r="BM53" i="13"/>
  <c r="BM70" i="13"/>
  <c r="BV53" i="13"/>
  <c r="BV70" i="13"/>
  <c r="BS53" i="13"/>
  <c r="BS70" i="13"/>
  <c r="CB53" i="13"/>
  <c r="CB70" i="13"/>
  <c r="BN53" i="13"/>
  <c r="BN70" i="13"/>
  <c r="CC53" i="13"/>
  <c r="CC70" i="13"/>
  <c r="BQ53" i="13"/>
  <c r="BQ70" i="13"/>
  <c r="CA53" i="13"/>
  <c r="CA70" i="13"/>
  <c r="BL53" i="13"/>
  <c r="BL70" i="13"/>
  <c r="BU70" i="13"/>
  <c r="BZ53" i="13"/>
  <c r="BZ70" i="13"/>
  <c r="CD53" i="13"/>
  <c r="CD70" i="13"/>
  <c r="CA32" i="13"/>
  <c r="BD49" i="13"/>
  <c r="BD66" i="13"/>
  <c r="AL49" i="13"/>
  <c r="AL66" i="13"/>
  <c r="AJ49" i="13"/>
  <c r="AJ66" i="13"/>
  <c r="AV49" i="13"/>
  <c r="AV66" i="13"/>
  <c r="AO49" i="13"/>
  <c r="AO66" i="13"/>
  <c r="BX66" i="13"/>
  <c r="BS32" i="13"/>
  <c r="BO32" i="13"/>
  <c r="BP66" i="13"/>
  <c r="BU32" i="13"/>
  <c r="CF32" i="13"/>
  <c r="BC49" i="13"/>
  <c r="BC66" i="13"/>
  <c r="AE49" i="13"/>
  <c r="AE66" i="13"/>
  <c r="AD66" i="13"/>
  <c r="AS49" i="13"/>
  <c r="AS66" i="13"/>
  <c r="BI32" i="13"/>
  <c r="BZ32" i="13"/>
  <c r="CC66" i="13"/>
  <c r="BJ32" i="13"/>
  <c r="BY32" i="13"/>
  <c r="Z49" i="13"/>
  <c r="AN49" i="13"/>
  <c r="AN66" i="13"/>
  <c r="AM49" i="13"/>
  <c r="AM66" i="13"/>
  <c r="AI49" i="13"/>
  <c r="AI66" i="13"/>
  <c r="BG49" i="13"/>
  <c r="BG66" i="13"/>
  <c r="BN32" i="13"/>
  <c r="CA66" i="13"/>
  <c r="CF66" i="13"/>
  <c r="BJ66" i="13"/>
  <c r="BU66" i="13"/>
  <c r="BV32" i="13"/>
  <c r="AR49" i="13"/>
  <c r="AR66" i="13"/>
  <c r="AF49" i="13"/>
  <c r="AF66" i="13"/>
  <c r="AK49" i="13"/>
  <c r="AK66" i="13"/>
  <c r="AB49" i="13"/>
  <c r="AB66" i="13"/>
  <c r="CD32" i="13"/>
  <c r="CC32" i="13"/>
  <c r="BP32" i="13"/>
  <c r="BM32" i="13"/>
  <c r="AQ49" i="13"/>
  <c r="AQ66" i="13"/>
  <c r="AZ49" i="13"/>
  <c r="AZ66" i="13"/>
  <c r="AX49" i="13"/>
  <c r="AX66" i="13"/>
  <c r="BF49" i="13"/>
  <c r="BF66" i="13"/>
  <c r="AH49" i="13"/>
  <c r="AH66" i="13"/>
  <c r="AW49" i="13"/>
  <c r="AW66" i="13"/>
  <c r="AT49" i="13"/>
  <c r="AT66" i="13"/>
  <c r="AU49" i="13"/>
  <c r="AU66" i="13"/>
  <c r="CE32" i="13"/>
  <c r="BR66" i="13"/>
  <c r="BY66" i="13"/>
  <c r="BV66" i="13"/>
  <c r="BM66" i="13"/>
  <c r="BS66" i="13"/>
  <c r="BT32" i="13"/>
  <c r="BL32" i="13"/>
  <c r="CB32" i="13"/>
  <c r="BW66" i="13"/>
  <c r="BR32" i="13"/>
  <c r="BO66" i="13"/>
  <c r="CB66" i="13"/>
  <c r="BT66" i="13"/>
  <c r="BQ32" i="13"/>
  <c r="BX32" i="13"/>
  <c r="AP49" i="13"/>
  <c r="AP66" i="13"/>
  <c r="AY49" i="13"/>
  <c r="AY66" i="13"/>
  <c r="AG49" i="13"/>
  <c r="AG66" i="13"/>
  <c r="BA49" i="13"/>
  <c r="BA66" i="13"/>
  <c r="BH49" i="13"/>
  <c r="BH66" i="13"/>
  <c r="BB49" i="13"/>
  <c r="BB66" i="13"/>
  <c r="BE49" i="13"/>
  <c r="BE66" i="13"/>
  <c r="AC49" i="13"/>
  <c r="AC66" i="13"/>
  <c r="AA49" i="13"/>
  <c r="AA66" i="13"/>
  <c r="BN66" i="13"/>
  <c r="BI66" i="13"/>
  <c r="BK66" i="13"/>
  <c r="BL66" i="13"/>
  <c r="CD66" i="13"/>
  <c r="BZ66" i="13"/>
  <c r="CG66" i="13"/>
  <c r="BQ66" i="13"/>
  <c r="BW32" i="13"/>
  <c r="CE66" i="13"/>
  <c r="CG32" i="13"/>
  <c r="BK32" i="13"/>
  <c r="AP27" i="13"/>
  <c r="I27" i="13"/>
  <c r="AS27" i="13"/>
  <c r="T27" i="13"/>
  <c r="BH27" i="13"/>
  <c r="AV27" i="13"/>
  <c r="AL27" i="13"/>
  <c r="P27" i="13"/>
  <c r="AR27" i="13"/>
  <c r="AF27" i="13"/>
  <c r="Z27" i="13"/>
  <c r="AG61" i="13"/>
  <c r="AQ27" i="13"/>
  <c r="Y27" i="13"/>
  <c r="G27" i="13"/>
  <c r="AQ61" i="13"/>
  <c r="AA61" i="13"/>
  <c r="BB61" i="13"/>
  <c r="R27" i="13"/>
  <c r="AB27" i="13"/>
  <c r="BD27" i="13"/>
  <c r="AT27" i="13"/>
  <c r="BE27" i="13"/>
  <c r="Q27" i="13"/>
  <c r="AO61" i="13"/>
  <c r="AC61" i="13"/>
  <c r="M27" i="13"/>
  <c r="BF27" i="13"/>
  <c r="AH27" i="13"/>
  <c r="AL61" i="13"/>
  <c r="AB61" i="13"/>
  <c r="AD61" i="13"/>
  <c r="BF61" i="13"/>
  <c r="AU61" i="13"/>
  <c r="AZ61" i="13"/>
  <c r="AW61" i="13"/>
  <c r="O27" i="13"/>
  <c r="AD27" i="13"/>
  <c r="U27" i="13"/>
  <c r="AJ61" i="13"/>
  <c r="BG61" i="13"/>
  <c r="AR61" i="13"/>
  <c r="AI61" i="13"/>
  <c r="AM61" i="13"/>
  <c r="AY61" i="13"/>
  <c r="AJ27" i="13"/>
  <c r="BE61" i="13"/>
  <c r="BA27" i="13"/>
  <c r="AE27" i="13"/>
  <c r="N27" i="13"/>
  <c r="AY27" i="13"/>
  <c r="S27" i="13"/>
  <c r="J27" i="13"/>
  <c r="L27" i="13"/>
  <c r="AU27" i="13"/>
  <c r="AA27" i="13"/>
  <c r="AX61" i="13"/>
  <c r="BG27" i="13"/>
  <c r="AM27" i="13"/>
  <c r="BC61" i="13"/>
  <c r="BD61" i="13"/>
  <c r="AT61" i="13"/>
  <c r="V27" i="13"/>
  <c r="AK27" i="13"/>
  <c r="AV61" i="13"/>
  <c r="BA61" i="13"/>
  <c r="AS61" i="13"/>
  <c r="BB27" i="13"/>
  <c r="H27" i="13"/>
  <c r="AW27" i="13"/>
  <c r="AZ27" i="13"/>
  <c r="K27" i="13"/>
  <c r="BH61" i="13"/>
  <c r="X27" i="13"/>
  <c r="AG27" i="13"/>
  <c r="AP61" i="13"/>
  <c r="AO27" i="13"/>
  <c r="AX27" i="13"/>
  <c r="AN27" i="13"/>
  <c r="AI27" i="13"/>
  <c r="AH61" i="13"/>
  <c r="AK61" i="13"/>
  <c r="AN61" i="13"/>
  <c r="AE61" i="13"/>
  <c r="AF61" i="13"/>
  <c r="W27" i="13"/>
  <c r="F27" i="13"/>
  <c r="BC27" i="13"/>
  <c r="AC27" i="13"/>
  <c r="Z61" i="13"/>
  <c r="AO9" i="13"/>
  <c r="N9" i="13"/>
  <c r="N65" i="13"/>
  <c r="AK9" i="13"/>
  <c r="K9" i="13"/>
  <c r="K65" i="13"/>
  <c r="AQ9" i="13"/>
  <c r="U9" i="13"/>
  <c r="U65" i="13"/>
  <c r="AE9" i="13"/>
  <c r="AF9" i="13"/>
  <c r="O9" i="13"/>
  <c r="O65" i="13"/>
  <c r="P9" i="13"/>
  <c r="P65" i="13"/>
  <c r="AH9" i="13"/>
  <c r="Z9" i="13"/>
  <c r="AJ9" i="13"/>
  <c r="V9" i="13"/>
  <c r="V65" i="13"/>
  <c r="W9" i="13"/>
  <c r="W65" i="13"/>
  <c r="I9" i="13"/>
  <c r="I65" i="13"/>
  <c r="Y9" i="13"/>
  <c r="Y65" i="13"/>
  <c r="F9" i="13"/>
  <c r="F65" i="13"/>
  <c r="X9" i="13"/>
  <c r="X65" i="13"/>
  <c r="AP9" i="13"/>
  <c r="AL9" i="13"/>
  <c r="AD9" i="13"/>
  <c r="S9" i="13"/>
  <c r="S65" i="13"/>
  <c r="J9" i="13"/>
  <c r="J65" i="13"/>
  <c r="H9" i="13"/>
  <c r="H65" i="13"/>
  <c r="G9" i="13"/>
  <c r="G65" i="13"/>
  <c r="L9" i="13"/>
  <c r="L65" i="13"/>
  <c r="R9" i="13"/>
  <c r="R65" i="13"/>
  <c r="AI9" i="13"/>
  <c r="M9" i="13"/>
  <c r="M65" i="13"/>
  <c r="T9" i="13"/>
  <c r="T65" i="13"/>
  <c r="Q9" i="13"/>
  <c r="Q65" i="13"/>
  <c r="AM9" i="13"/>
  <c r="AR9" i="13"/>
  <c r="AN9" i="13"/>
  <c r="AG9" i="13"/>
  <c r="H12" i="13"/>
  <c r="H68" i="13"/>
  <c r="J12" i="13"/>
  <c r="J68" i="13"/>
  <c r="AN12" i="13"/>
  <c r="O12" i="13"/>
  <c r="O68" i="13"/>
  <c r="AR12" i="13"/>
  <c r="AM12" i="13"/>
  <c r="V12" i="13"/>
  <c r="V68" i="13"/>
  <c r="K12" i="13"/>
  <c r="K68" i="13"/>
  <c r="R12" i="13"/>
  <c r="R68" i="13"/>
  <c r="N12" i="13"/>
  <c r="N68" i="13"/>
  <c r="Q12" i="13"/>
  <c r="Q68" i="13"/>
  <c r="AF12" i="13"/>
  <c r="L12" i="13"/>
  <c r="L68" i="13"/>
  <c r="AG12" i="13"/>
  <c r="AJ12" i="13"/>
  <c r="AH12" i="13"/>
  <c r="M12" i="13"/>
  <c r="M68" i="13"/>
  <c r="I12" i="13"/>
  <c r="I68" i="13"/>
  <c r="G12" i="13"/>
  <c r="G68" i="13"/>
  <c r="AD12" i="13"/>
  <c r="AP12" i="13"/>
  <c r="AQ12" i="13"/>
  <c r="AL12" i="13"/>
  <c r="AI12" i="13"/>
  <c r="AE12" i="13"/>
  <c r="S12" i="13"/>
  <c r="S68" i="13"/>
  <c r="U12" i="13"/>
  <c r="U68" i="13"/>
  <c r="AK12" i="13"/>
  <c r="F12" i="13"/>
  <c r="F68" i="13"/>
  <c r="X12" i="13"/>
  <c r="X68" i="13"/>
  <c r="AO12" i="13"/>
  <c r="W12" i="13"/>
  <c r="W68" i="13"/>
  <c r="T12" i="13"/>
  <c r="T68" i="13"/>
  <c r="Y12" i="13"/>
  <c r="Y68" i="13"/>
  <c r="P12" i="13"/>
  <c r="P68" i="13"/>
  <c r="Y37" i="13"/>
  <c r="BE37" i="13"/>
  <c r="I37" i="13"/>
  <c r="BA37" i="13"/>
  <c r="J37" i="13"/>
  <c r="AX37" i="13"/>
  <c r="AL37" i="13"/>
  <c r="AS71" i="13"/>
  <c r="BA71" i="13"/>
  <c r="AP71" i="13"/>
  <c r="X37" i="13"/>
  <c r="AK37" i="13"/>
  <c r="R37" i="13"/>
  <c r="AN37" i="13"/>
  <c r="AH37" i="13"/>
  <c r="AY37" i="13"/>
  <c r="BH37" i="13"/>
  <c r="AU71" i="13"/>
  <c r="U37" i="13"/>
  <c r="AM37" i="13"/>
  <c r="L37" i="13"/>
  <c r="AA37" i="13"/>
  <c r="G37" i="13"/>
  <c r="AD37" i="13"/>
  <c r="AB37" i="13"/>
  <c r="AH71" i="13"/>
  <c r="AG71" i="13"/>
  <c r="BD37" i="13"/>
  <c r="V37" i="13"/>
  <c r="M37" i="13"/>
  <c r="BB37" i="13"/>
  <c r="AR37" i="13"/>
  <c r="Z37" i="13"/>
  <c r="AF71" i="13"/>
  <c r="AY71" i="13"/>
  <c r="W37" i="13"/>
  <c r="AP37" i="13"/>
  <c r="F37" i="13"/>
  <c r="AC37" i="13"/>
  <c r="S37" i="13"/>
  <c r="AS37" i="13"/>
  <c r="BG37" i="13"/>
  <c r="AX71" i="13"/>
  <c r="BG71" i="13"/>
  <c r="AW37" i="13"/>
  <c r="AG37" i="13"/>
  <c r="O37" i="13"/>
  <c r="AT37" i="13"/>
  <c r="P37" i="13"/>
  <c r="AU37" i="13"/>
  <c r="AO37" i="13"/>
  <c r="AW71" i="13"/>
  <c r="BD71" i="13"/>
  <c r="AO71" i="13"/>
  <c r="AA71" i="13"/>
  <c r="BE71" i="13"/>
  <c r="BH71" i="13"/>
  <c r="Q37" i="13"/>
  <c r="AI37" i="13"/>
  <c r="K37" i="13"/>
  <c r="AF37" i="13"/>
  <c r="N37" i="13"/>
  <c r="AZ37" i="13"/>
  <c r="BC37" i="13"/>
  <c r="AC71" i="13"/>
  <c r="AM71" i="13"/>
  <c r="AR71" i="13"/>
  <c r="AK71" i="13"/>
  <c r="AJ71" i="13"/>
  <c r="AV71" i="13"/>
  <c r="AB71" i="13"/>
  <c r="AD71" i="13"/>
  <c r="BF37" i="13"/>
  <c r="T37" i="13"/>
  <c r="H37" i="13"/>
  <c r="AV37" i="13"/>
  <c r="AQ37" i="13"/>
  <c r="AJ37" i="13"/>
  <c r="AE37" i="13"/>
  <c r="AZ71" i="13"/>
  <c r="AN71" i="13"/>
  <c r="AI71" i="13"/>
  <c r="AT71" i="13"/>
  <c r="BC71" i="13"/>
  <c r="AL71" i="13"/>
  <c r="BF71" i="13"/>
  <c r="BB71" i="13"/>
  <c r="AQ71" i="13"/>
  <c r="AE71" i="13"/>
  <c r="Z71" i="13"/>
  <c r="CO7" i="13"/>
  <c r="CE7" i="13"/>
  <c r="CH7" i="13"/>
  <c r="CB7" i="13"/>
  <c r="CC7" i="13"/>
  <c r="CP7" i="13"/>
  <c r="BW7" i="13"/>
  <c r="BX7" i="13"/>
  <c r="CI7" i="13"/>
  <c r="BZ7" i="13"/>
  <c r="CG7" i="13"/>
  <c r="CJ7" i="13"/>
  <c r="BY7" i="13"/>
  <c r="CF7" i="13"/>
  <c r="CK7" i="13"/>
  <c r="CA7" i="13"/>
  <c r="CD7" i="13"/>
  <c r="CL7" i="13"/>
  <c r="CN7" i="13"/>
  <c r="CM7" i="13"/>
  <c r="D38" i="13"/>
  <c r="C38" i="13"/>
  <c r="E38" i="13"/>
  <c r="L120" i="1"/>
  <c r="L71" i="1"/>
  <c r="L121" i="1"/>
  <c r="L72" i="1"/>
  <c r="L67" i="1"/>
  <c r="CT42" i="13"/>
  <c r="CO42" i="13"/>
  <c r="CV25" i="13"/>
  <c r="CI42" i="13"/>
  <c r="CN25" i="13"/>
  <c r="CR25" i="13"/>
  <c r="CN42" i="13"/>
  <c r="CJ42" i="13"/>
  <c r="CU42" i="13"/>
  <c r="CV42" i="13"/>
  <c r="CO25" i="13"/>
  <c r="CQ25" i="13"/>
  <c r="CH42" i="13"/>
  <c r="CM42" i="13"/>
  <c r="CK25" i="13"/>
  <c r="CJ25" i="13"/>
  <c r="CH25" i="13"/>
  <c r="CP42" i="13"/>
  <c r="CP59" i="13"/>
  <c r="CP45" i="13"/>
  <c r="CP62" i="13"/>
  <c r="CP52" i="13"/>
  <c r="CP69" i="13"/>
  <c r="CP72" i="13"/>
  <c r="CT59" i="13"/>
  <c r="CO59" i="13"/>
  <c r="CU25" i="13"/>
  <c r="CQ42" i="13"/>
  <c r="CQ59" i="13"/>
  <c r="CS42" i="13"/>
  <c r="CS59" i="13"/>
  <c r="CI59" i="13"/>
  <c r="CI25" i="13"/>
  <c r="CM25" i="13"/>
  <c r="CN59" i="13"/>
  <c r="CJ59" i="13"/>
  <c r="CU59" i="13"/>
  <c r="CV59" i="13"/>
  <c r="CL25" i="13"/>
  <c r="CP25" i="13"/>
  <c r="CL42" i="13"/>
  <c r="CL59" i="13"/>
  <c r="CL45" i="13"/>
  <c r="CL62" i="13"/>
  <c r="CL52" i="13"/>
  <c r="CL69" i="13"/>
  <c r="CL72" i="13"/>
  <c r="CK42" i="13"/>
  <c r="CK59" i="13"/>
  <c r="CK45" i="13"/>
  <c r="CK62" i="13"/>
  <c r="CK52" i="13"/>
  <c r="CK69" i="13"/>
  <c r="CK72" i="13"/>
  <c r="CR59" i="13"/>
  <c r="CM59" i="13"/>
  <c r="CT25" i="13"/>
  <c r="CS25" i="13"/>
  <c r="CD42" i="13"/>
  <c r="CB42" i="13"/>
  <c r="BV42" i="13"/>
  <c r="BQ42" i="13"/>
  <c r="BI42" i="13"/>
  <c r="BR42" i="13"/>
  <c r="BP42" i="13"/>
  <c r="BZ42" i="13"/>
  <c r="CC42" i="13"/>
  <c r="BK42" i="13"/>
  <c r="BW42" i="13"/>
  <c r="BJ42" i="13"/>
  <c r="BY42" i="13"/>
  <c r="BN42" i="13"/>
  <c r="BL42" i="13"/>
  <c r="CF42" i="13"/>
  <c r="BT42" i="13"/>
  <c r="BX42" i="13"/>
  <c r="CG42" i="13"/>
  <c r="CA42" i="13"/>
  <c r="BM42" i="13"/>
  <c r="CE42" i="13"/>
  <c r="BO42" i="13"/>
  <c r="BS42" i="13"/>
  <c r="CH59" i="13"/>
  <c r="AX13" i="13"/>
  <c r="BR13" i="13"/>
  <c r="BQ13" i="13"/>
  <c r="BH13" i="13"/>
  <c r="BL13" i="13"/>
  <c r="AW13" i="13"/>
  <c r="BV13" i="13"/>
  <c r="BU13" i="13"/>
  <c r="BO13" i="13"/>
  <c r="BB13" i="13"/>
  <c r="BA13" i="13"/>
  <c r="AV13" i="13"/>
  <c r="AY13" i="13"/>
  <c r="AZ13" i="13"/>
  <c r="BC13" i="13"/>
  <c r="BM13" i="13"/>
  <c r="BF13" i="13"/>
  <c r="BI13" i="13"/>
  <c r="BE13" i="13"/>
  <c r="BJ13" i="13"/>
  <c r="BS13" i="13"/>
  <c r="AS13" i="13"/>
  <c r="BN13" i="13"/>
  <c r="BT13" i="13"/>
  <c r="AU13" i="13"/>
  <c r="BK13" i="13"/>
  <c r="BP13" i="13"/>
  <c r="AT13" i="13"/>
  <c r="BD13" i="13"/>
  <c r="BG13" i="13"/>
  <c r="BB3" i="13"/>
  <c r="BF3" i="13"/>
  <c r="BI3" i="13"/>
  <c r="BH3" i="13"/>
  <c r="BG3" i="13"/>
  <c r="BP3" i="13"/>
  <c r="BV3" i="13"/>
  <c r="AY3" i="13"/>
  <c r="BR3" i="13"/>
  <c r="BU3" i="13"/>
  <c r="AU3" i="13"/>
  <c r="BO3" i="13"/>
  <c r="AV3" i="13"/>
  <c r="BN3" i="13"/>
  <c r="BE3" i="13"/>
  <c r="BM3" i="13"/>
  <c r="AZ3" i="13"/>
  <c r="BK3" i="13"/>
  <c r="BS3" i="13"/>
  <c r="BL3" i="13"/>
  <c r="AW3" i="13"/>
  <c r="AX3" i="13"/>
  <c r="AS3" i="13"/>
  <c r="AT3" i="13"/>
  <c r="BT3" i="13"/>
  <c r="BD3" i="13"/>
  <c r="BJ3" i="13"/>
  <c r="BQ3" i="13"/>
  <c r="BA3" i="13"/>
  <c r="BC3" i="13"/>
  <c r="CT45" i="13"/>
  <c r="CT62" i="13"/>
  <c r="CW62" i="13"/>
  <c r="CW72" i="13"/>
  <c r="DA28" i="13"/>
  <c r="DA38" i="13"/>
  <c r="CM45" i="13"/>
  <c r="CM62" i="13"/>
  <c r="CR62" i="13"/>
  <c r="CN45" i="13"/>
  <c r="CN62" i="13"/>
  <c r="CZ28" i="13"/>
  <c r="CZ38" i="13"/>
  <c r="CV45" i="13"/>
  <c r="CV62" i="13"/>
  <c r="CJ45" i="13"/>
  <c r="CJ62" i="13"/>
  <c r="CO45" i="13"/>
  <c r="CO62" i="13"/>
  <c r="CW28" i="13"/>
  <c r="CW38" i="13"/>
  <c r="CX28" i="13"/>
  <c r="CX38" i="13"/>
  <c r="CY62" i="13"/>
  <c r="CY72" i="13"/>
  <c r="CU45" i="13"/>
  <c r="CU62" i="13"/>
  <c r="CH45" i="13"/>
  <c r="DA62" i="13"/>
  <c r="DA72" i="13"/>
  <c r="CY28" i="13"/>
  <c r="CY38" i="13"/>
  <c r="CS45" i="13"/>
  <c r="CS62" i="13"/>
  <c r="CX62" i="13"/>
  <c r="CX72" i="13"/>
  <c r="CI45" i="13"/>
  <c r="CI62" i="13"/>
  <c r="CQ45" i="13"/>
  <c r="CQ62" i="13"/>
  <c r="CZ62" i="13"/>
  <c r="CZ72" i="13"/>
  <c r="V25" i="13"/>
  <c r="R25" i="13"/>
  <c r="Y25" i="13"/>
  <c r="T25" i="13"/>
  <c r="U25" i="13"/>
  <c r="I25" i="13"/>
  <c r="M25" i="13"/>
  <c r="AW25" i="13"/>
  <c r="AP25" i="13"/>
  <c r="AO25" i="13"/>
  <c r="BC25" i="13"/>
  <c r="AJ25" i="13"/>
  <c r="BF25" i="13"/>
  <c r="BH25" i="13"/>
  <c r="BG25" i="13"/>
  <c r="AD25" i="13"/>
  <c r="BE25" i="13"/>
  <c r="BA25" i="13"/>
  <c r="AZ25" i="13"/>
  <c r="AY25" i="13"/>
  <c r="AE25" i="13"/>
  <c r="AM25" i="13"/>
  <c r="BD25" i="13"/>
  <c r="AH25" i="13"/>
  <c r="Q25" i="13"/>
  <c r="L25" i="13"/>
  <c r="O25" i="13"/>
  <c r="G25" i="13"/>
  <c r="J25" i="13"/>
  <c r="X25" i="13"/>
  <c r="W25" i="13"/>
  <c r="P25" i="13"/>
  <c r="H25" i="13"/>
  <c r="K25" i="13"/>
  <c r="N25" i="13"/>
  <c r="AU25" i="13"/>
  <c r="AI25" i="13"/>
  <c r="AS25" i="13"/>
  <c r="AT25" i="13"/>
  <c r="AX25" i="13"/>
  <c r="AG25" i="13"/>
  <c r="AR25" i="13"/>
  <c r="AA25" i="13"/>
  <c r="BB25" i="13"/>
  <c r="AC25" i="13"/>
  <c r="AL25" i="13"/>
  <c r="AN25" i="13"/>
  <c r="Z25" i="13"/>
  <c r="AF25" i="13"/>
  <c r="AK25" i="13"/>
  <c r="AB25" i="13"/>
  <c r="AQ25" i="13"/>
  <c r="AV25" i="13"/>
  <c r="CJ13" i="13"/>
  <c r="CI13" i="13"/>
  <c r="CG13" i="13"/>
  <c r="CC13" i="13"/>
  <c r="CD13" i="13"/>
  <c r="CN13" i="13"/>
  <c r="CE13" i="13"/>
  <c r="CA13" i="13"/>
  <c r="BW13" i="13"/>
  <c r="CK13" i="13"/>
  <c r="CF13" i="13"/>
  <c r="CL13" i="13"/>
  <c r="BZ13" i="13"/>
  <c r="CP13" i="13"/>
  <c r="CB13" i="13"/>
  <c r="CH13" i="13"/>
  <c r="BX13" i="13"/>
  <c r="BY13" i="13"/>
  <c r="CM13" i="13"/>
  <c r="CO13" i="13"/>
  <c r="B38" i="13"/>
  <c r="AL13" i="13"/>
  <c r="W13" i="13"/>
  <c r="W69" i="13"/>
  <c r="J13" i="13"/>
  <c r="J69" i="13"/>
  <c r="AG13" i="13"/>
  <c r="AP13" i="13"/>
  <c r="Z13" i="13"/>
  <c r="X13" i="13"/>
  <c r="X69" i="13"/>
  <c r="AA13" i="13"/>
  <c r="AF13" i="13"/>
  <c r="O13" i="13"/>
  <c r="O69" i="13"/>
  <c r="G13" i="13"/>
  <c r="G69" i="13"/>
  <c r="AD13" i="13"/>
  <c r="R13" i="13"/>
  <c r="R69" i="13"/>
  <c r="AR13" i="13"/>
  <c r="AN13" i="13"/>
  <c r="U13" i="13"/>
  <c r="U69" i="13"/>
  <c r="AQ13" i="13"/>
  <c r="AC13" i="13"/>
  <c r="Q13" i="13"/>
  <c r="Q69" i="13"/>
  <c r="F13" i="13"/>
  <c r="F69" i="13"/>
  <c r="S13" i="13"/>
  <c r="S69" i="13"/>
  <c r="AM13" i="13"/>
  <c r="Y13" i="13"/>
  <c r="Y69" i="13"/>
  <c r="H13" i="13"/>
  <c r="H69" i="13"/>
  <c r="L13" i="13"/>
  <c r="L69" i="13"/>
  <c r="AK13" i="13"/>
  <c r="AJ13" i="13"/>
  <c r="N13" i="13"/>
  <c r="N69" i="13"/>
  <c r="AO13" i="13"/>
  <c r="T13" i="13"/>
  <c r="T69" i="13"/>
  <c r="V13" i="13"/>
  <c r="V69" i="13"/>
  <c r="I13" i="13"/>
  <c r="I69" i="13"/>
  <c r="K13" i="13"/>
  <c r="K69" i="13"/>
  <c r="AE13" i="13"/>
  <c r="P13" i="13"/>
  <c r="P69" i="13"/>
  <c r="AI13" i="13"/>
  <c r="AH13" i="13"/>
  <c r="M13" i="13"/>
  <c r="M69" i="13"/>
  <c r="AB13" i="13"/>
  <c r="L67" i="8"/>
  <c r="L120" i="8"/>
  <c r="L71" i="8"/>
  <c r="L121" i="8"/>
  <c r="L72" i="8"/>
  <c r="BI64" i="13"/>
  <c r="Z65" i="13"/>
  <c r="Z60" i="13"/>
  <c r="BI70" i="13"/>
  <c r="BI63" i="13"/>
  <c r="Z62" i="13"/>
  <c r="I71" i="8"/>
  <c r="CB3" i="13"/>
  <c r="CP3" i="13"/>
  <c r="CN3" i="13"/>
  <c r="CI3" i="13"/>
  <c r="CK3" i="13"/>
  <c r="CC3" i="13"/>
  <c r="CM3" i="13"/>
  <c r="BY3" i="13"/>
  <c r="CJ3" i="13"/>
  <c r="BZ3" i="13"/>
  <c r="BX3" i="13"/>
  <c r="CA3" i="13"/>
  <c r="CH3" i="13"/>
  <c r="CF3" i="13"/>
  <c r="CD3" i="13"/>
  <c r="CG3" i="13"/>
  <c r="CE3" i="13"/>
  <c r="CO3" i="13"/>
  <c r="CL3" i="13"/>
  <c r="BW3" i="13"/>
  <c r="CB35" i="13"/>
  <c r="CC35" i="13"/>
  <c r="BS35" i="13"/>
  <c r="BW35" i="13"/>
  <c r="BQ35" i="13"/>
  <c r="BP35" i="13"/>
  <c r="BJ35" i="13"/>
  <c r="BK35" i="13"/>
  <c r="BL35" i="13"/>
  <c r="BR35" i="13"/>
  <c r="CD35" i="13"/>
  <c r="BO35" i="13"/>
  <c r="CF35" i="13"/>
  <c r="AQ52" i="13"/>
  <c r="AI52" i="13"/>
  <c r="AE52" i="13"/>
  <c r="AJ52" i="13"/>
  <c r="AK52" i="13"/>
  <c r="AR52" i="13"/>
  <c r="AO52" i="13"/>
  <c r="AV52" i="13"/>
  <c r="AL52" i="13"/>
  <c r="AH52" i="13"/>
  <c r="AU52" i="13"/>
  <c r="AF52" i="13"/>
  <c r="AT52" i="13"/>
  <c r="AY52" i="13"/>
  <c r="BI35" i="13"/>
  <c r="CE35" i="13"/>
  <c r="BY35" i="13"/>
  <c r="BZ35" i="13"/>
  <c r="BN35" i="13"/>
  <c r="BT35" i="13"/>
  <c r="BX35" i="13"/>
  <c r="CG35" i="13"/>
  <c r="BV35" i="13"/>
  <c r="CA35" i="13"/>
  <c r="BU35" i="13"/>
  <c r="BM35" i="13"/>
  <c r="Z52" i="13"/>
  <c r="AC52" i="13"/>
  <c r="BF52" i="13"/>
  <c r="BD52" i="13"/>
  <c r="BH52" i="13"/>
  <c r="AG52" i="13"/>
  <c r="BE52" i="13"/>
  <c r="AX52" i="13"/>
  <c r="BB52" i="13"/>
  <c r="AW52" i="13"/>
  <c r="BC52" i="13"/>
  <c r="AM52" i="13"/>
  <c r="AZ52" i="13"/>
  <c r="AP52" i="13"/>
  <c r="BA52" i="13"/>
  <c r="BG52" i="13"/>
  <c r="AS52" i="13"/>
  <c r="AA52" i="13"/>
  <c r="AB52" i="13"/>
  <c r="AN52" i="13"/>
  <c r="CG59" i="13"/>
  <c r="AX42" i="13"/>
  <c r="AX59" i="13"/>
  <c r="AX69" i="13"/>
  <c r="AX72" i="13"/>
  <c r="AH42" i="13"/>
  <c r="AH59" i="13"/>
  <c r="AH69" i="13"/>
  <c r="AH72" i="13"/>
  <c r="BV25" i="13"/>
  <c r="BV38" i="13"/>
  <c r="AB42" i="13"/>
  <c r="AB3" i="13"/>
  <c r="AB59" i="13"/>
  <c r="AB69" i="13"/>
  <c r="AB72" i="13"/>
  <c r="BD42" i="13"/>
  <c r="BD59" i="13"/>
  <c r="BD69" i="13"/>
  <c r="BD72" i="13"/>
  <c r="AI42" i="13"/>
  <c r="AI59" i="13"/>
  <c r="AI69" i="13"/>
  <c r="AI72" i="13"/>
  <c r="BL25" i="13"/>
  <c r="BL38" i="13"/>
  <c r="BO25" i="13"/>
  <c r="BO38" i="13"/>
  <c r="BX59" i="13"/>
  <c r="BS25" i="13"/>
  <c r="BS38" i="13"/>
  <c r="BU25" i="13"/>
  <c r="BU38" i="13"/>
  <c r="AU42" i="13"/>
  <c r="AU59" i="13"/>
  <c r="AU69" i="13"/>
  <c r="AU72" i="13"/>
  <c r="BH42" i="13"/>
  <c r="BH59" i="13"/>
  <c r="BH69" i="13"/>
  <c r="BH72" i="13"/>
  <c r="AK42" i="13"/>
  <c r="AK59" i="13"/>
  <c r="AK69" i="13"/>
  <c r="AK72" i="13"/>
  <c r="AT42" i="13"/>
  <c r="AT59" i="13"/>
  <c r="AT69" i="13"/>
  <c r="AT72" i="13"/>
  <c r="BY25" i="13"/>
  <c r="BY38" i="13"/>
  <c r="CA59" i="13"/>
  <c r="BM59" i="13"/>
  <c r="CE59" i="13"/>
  <c r="BO59" i="13"/>
  <c r="BS59" i="13"/>
  <c r="AJ42" i="13"/>
  <c r="AJ59" i="13"/>
  <c r="AJ69" i="13"/>
  <c r="AJ72" i="13"/>
  <c r="AE42" i="13"/>
  <c r="AE59" i="13"/>
  <c r="AE69" i="13"/>
  <c r="AE72" i="13"/>
  <c r="AC42" i="13"/>
  <c r="AC3" i="13"/>
  <c r="AC59" i="13"/>
  <c r="AC69" i="13"/>
  <c r="AC72" i="13"/>
  <c r="AO42" i="13"/>
  <c r="AO59" i="13"/>
  <c r="AO69" i="13"/>
  <c r="AO72" i="13"/>
  <c r="BT25" i="13"/>
  <c r="BT38" i="13"/>
  <c r="CG25" i="13"/>
  <c r="CG38" i="13"/>
  <c r="CB25" i="13"/>
  <c r="CB38" i="13"/>
  <c r="CE25" i="13"/>
  <c r="CE38" i="13"/>
  <c r="CF25" i="13"/>
  <c r="CF38" i="13"/>
  <c r="AZ42" i="13"/>
  <c r="AZ59" i="13"/>
  <c r="AZ69" i="13"/>
  <c r="AZ72" i="13"/>
  <c r="AA42" i="13"/>
  <c r="AA3" i="13"/>
  <c r="AA59" i="13"/>
  <c r="AA69" i="13"/>
  <c r="AA72" i="13"/>
  <c r="AQ42" i="13"/>
  <c r="AQ59" i="13"/>
  <c r="AQ69" i="13"/>
  <c r="AQ72" i="13"/>
  <c r="AW42" i="13"/>
  <c r="AW59" i="13"/>
  <c r="AW69" i="13"/>
  <c r="AW72" i="13"/>
  <c r="BE42" i="13"/>
  <c r="BE59" i="13"/>
  <c r="BE69" i="13"/>
  <c r="BE72" i="13"/>
  <c r="BX25" i="13"/>
  <c r="BX38" i="13"/>
  <c r="BU59" i="13"/>
  <c r="AM42" i="13"/>
  <c r="AM59" i="13"/>
  <c r="AM69" i="13"/>
  <c r="AM72" i="13"/>
  <c r="BB42" i="13"/>
  <c r="BB59" i="13"/>
  <c r="BB69" i="13"/>
  <c r="BB72" i="13"/>
  <c r="BC42" i="13"/>
  <c r="BC59" i="13"/>
  <c r="BC69" i="13"/>
  <c r="BC72" i="13"/>
  <c r="CA25" i="13"/>
  <c r="CA38" i="13"/>
  <c r="BI25" i="13"/>
  <c r="BI38" i="13"/>
  <c r="CD59" i="13"/>
  <c r="CB59" i="13"/>
  <c r="AP42" i="13"/>
  <c r="AP59" i="13"/>
  <c r="AP69" i="13"/>
  <c r="AP72" i="13"/>
  <c r="AR42" i="13"/>
  <c r="AR59" i="13"/>
  <c r="AR69" i="13"/>
  <c r="AR72" i="13"/>
  <c r="BQ25" i="13"/>
  <c r="BQ38" i="13"/>
  <c r="BW25" i="13"/>
  <c r="BW38" i="13"/>
  <c r="AF42" i="13"/>
  <c r="AF59" i="13"/>
  <c r="AF69" i="13"/>
  <c r="AF72" i="13"/>
  <c r="AY42" i="13"/>
  <c r="AY59" i="13"/>
  <c r="AY69" i="13"/>
  <c r="AY72" i="13"/>
  <c r="AD59" i="13"/>
  <c r="AD69" i="13"/>
  <c r="AD72" i="13"/>
  <c r="BZ25" i="13"/>
  <c r="BZ38" i="13"/>
  <c r="BR25" i="13"/>
  <c r="BR38" i="13"/>
  <c r="BR59" i="13"/>
  <c r="BP59" i="13"/>
  <c r="BZ59" i="13"/>
  <c r="CC59" i="13"/>
  <c r="BK59" i="13"/>
  <c r="BW59" i="13"/>
  <c r="BN25" i="13"/>
  <c r="BN38" i="13"/>
  <c r="BJ25" i="13"/>
  <c r="BJ38" i="13"/>
  <c r="BV59" i="13"/>
  <c r="CC25" i="13"/>
  <c r="CC38" i="13"/>
  <c r="BA42" i="13"/>
  <c r="BA59" i="13"/>
  <c r="BA69" i="13"/>
  <c r="BA72" i="13"/>
  <c r="Z42" i="13"/>
  <c r="BF42" i="13"/>
  <c r="BF59" i="13"/>
  <c r="BF69" i="13"/>
  <c r="BF72" i="13"/>
  <c r="BG42" i="13"/>
  <c r="BG59" i="13"/>
  <c r="BG69" i="13"/>
  <c r="BG72" i="13"/>
  <c r="CD25" i="13"/>
  <c r="CD38" i="13"/>
  <c r="BK25" i="13"/>
  <c r="BK38" i="13"/>
  <c r="BP25" i="13"/>
  <c r="BP38" i="13"/>
  <c r="BJ59" i="13"/>
  <c r="BY59" i="13"/>
  <c r="BN59" i="13"/>
  <c r="BL59" i="13"/>
  <c r="CF59" i="13"/>
  <c r="BT59" i="13"/>
  <c r="BQ59" i="13"/>
  <c r="BI59" i="13"/>
  <c r="BM25" i="13"/>
  <c r="BM38" i="13"/>
  <c r="AN42" i="13"/>
  <c r="AN59" i="13"/>
  <c r="AN69" i="13"/>
  <c r="AN72" i="13"/>
  <c r="AV42" i="13"/>
  <c r="AV59" i="13"/>
  <c r="AV69" i="13"/>
  <c r="AV72" i="13"/>
  <c r="AL42" i="13"/>
  <c r="AL59" i="13"/>
  <c r="AL69" i="13"/>
  <c r="AL72" i="13"/>
  <c r="AS42" i="13"/>
  <c r="AS59" i="13"/>
  <c r="AS69" i="13"/>
  <c r="AS72" i="13"/>
  <c r="AG42" i="13"/>
  <c r="AG59" i="13"/>
  <c r="AG69" i="13"/>
  <c r="AG72" i="13"/>
  <c r="CV6" i="13"/>
  <c r="CS6" i="13"/>
  <c r="CZ6" i="13"/>
  <c r="CW6" i="13"/>
  <c r="DA6" i="13"/>
  <c r="CU6" i="13"/>
  <c r="CR6" i="13"/>
  <c r="CQ6" i="13"/>
  <c r="CX6" i="13"/>
  <c r="CT6" i="13"/>
  <c r="CY6" i="13"/>
  <c r="AP3" i="13"/>
  <c r="AI3" i="13"/>
  <c r="O3" i="13"/>
  <c r="O59" i="13"/>
  <c r="O72" i="13"/>
  <c r="K3" i="13"/>
  <c r="K59" i="13"/>
  <c r="K72" i="13"/>
  <c r="L3" i="13"/>
  <c r="L59" i="13"/>
  <c r="L72" i="13"/>
  <c r="AR3" i="13"/>
  <c r="S3" i="13"/>
  <c r="S59" i="13"/>
  <c r="S72" i="13"/>
  <c r="Z3" i="13"/>
  <c r="J3" i="13"/>
  <c r="J59" i="13"/>
  <c r="J72" i="13"/>
  <c r="W3" i="13"/>
  <c r="W59" i="13"/>
  <c r="W72" i="13"/>
  <c r="AK3" i="13"/>
  <c r="AG3" i="13"/>
  <c r="U3" i="13"/>
  <c r="U59" i="13"/>
  <c r="U72" i="13"/>
  <c r="H3" i="13"/>
  <c r="H59" i="13"/>
  <c r="H72" i="13"/>
  <c r="AO3" i="13"/>
  <c r="AJ3" i="13"/>
  <c r="V3" i="13"/>
  <c r="V59" i="13"/>
  <c r="V72" i="13"/>
  <c r="T3" i="13"/>
  <c r="T59" i="13"/>
  <c r="T72" i="13"/>
  <c r="AL3" i="13"/>
  <c r="F3" i="13"/>
  <c r="F59" i="13"/>
  <c r="F72" i="13"/>
  <c r="X3" i="13"/>
  <c r="X59" i="13"/>
  <c r="X72" i="13"/>
  <c r="I3" i="13"/>
  <c r="I59" i="13"/>
  <c r="I72" i="13"/>
  <c r="AH3" i="13"/>
  <c r="M3" i="13"/>
  <c r="M59" i="13"/>
  <c r="M72" i="13"/>
  <c r="AN3" i="13"/>
  <c r="N3" i="13"/>
  <c r="N59" i="13"/>
  <c r="N72" i="13"/>
  <c r="R3" i="13"/>
  <c r="R59" i="13"/>
  <c r="R72" i="13"/>
  <c r="Q3" i="13"/>
  <c r="Q59" i="13"/>
  <c r="Q72" i="13"/>
  <c r="P3" i="13"/>
  <c r="P59" i="13"/>
  <c r="P72" i="13"/>
  <c r="AF3" i="13"/>
  <c r="AE3" i="13"/>
  <c r="Y3" i="13"/>
  <c r="Y59" i="13"/>
  <c r="Y72" i="13"/>
  <c r="G3" i="13"/>
  <c r="G59" i="13"/>
  <c r="G72" i="13"/>
  <c r="AD3" i="13"/>
  <c r="AM3" i="13"/>
  <c r="AQ3" i="13"/>
  <c r="CM35" i="13"/>
  <c r="CP35" i="13"/>
  <c r="CR35" i="13"/>
  <c r="CK35" i="13"/>
  <c r="CM52" i="13"/>
  <c r="CS35" i="13"/>
  <c r="CQ35" i="13"/>
  <c r="CH35" i="13"/>
  <c r="CN35" i="13"/>
  <c r="BJ52" i="13"/>
  <c r="BJ69" i="13"/>
  <c r="CB52" i="13"/>
  <c r="CB69" i="13"/>
  <c r="CD52" i="13"/>
  <c r="CD69" i="13"/>
  <c r="BK52" i="13"/>
  <c r="BK69" i="13"/>
  <c r="BT52" i="13"/>
  <c r="BT69" i="13"/>
  <c r="CF52" i="13"/>
  <c r="CF69" i="13"/>
  <c r="BQ52" i="13"/>
  <c r="BQ69" i="13"/>
  <c r="CA52" i="13"/>
  <c r="CA69" i="13"/>
  <c r="BS52" i="13"/>
  <c r="BS69" i="13"/>
  <c r="BN52" i="13"/>
  <c r="BN69" i="13"/>
  <c r="BX52" i="13"/>
  <c r="BX69" i="13"/>
  <c r="BZ52" i="13"/>
  <c r="BZ69" i="13"/>
  <c r="BO52" i="13"/>
  <c r="BO69" i="13"/>
  <c r="BP52" i="13"/>
  <c r="BP69" i="13"/>
  <c r="BR52" i="13"/>
  <c r="BR69" i="13"/>
  <c r="CC52" i="13"/>
  <c r="CC69" i="13"/>
  <c r="BU69" i="13"/>
  <c r="BI52" i="13"/>
  <c r="BW52" i="13"/>
  <c r="BW69" i="13"/>
  <c r="BV52" i="13"/>
  <c r="BV69" i="13"/>
  <c r="BL52" i="13"/>
  <c r="BL69" i="13"/>
  <c r="BY52" i="13"/>
  <c r="BY69" i="13"/>
  <c r="CG52" i="13"/>
  <c r="CG69" i="13"/>
  <c r="CE52" i="13"/>
  <c r="CE69" i="13"/>
  <c r="BM52" i="13"/>
  <c r="BM69" i="13"/>
  <c r="CJ35" i="13"/>
  <c r="CT35" i="13"/>
  <c r="CT52" i="13"/>
  <c r="CT69" i="13"/>
  <c r="CJ52" i="13"/>
  <c r="CJ69" i="13"/>
  <c r="CV52" i="13"/>
  <c r="CV69" i="13"/>
  <c r="CO52" i="13"/>
  <c r="CO69" i="13"/>
  <c r="CI35" i="13"/>
  <c r="CV35" i="13"/>
  <c r="CI52" i="13"/>
  <c r="CI69" i="13"/>
  <c r="CM69" i="13"/>
  <c r="CO35" i="13"/>
  <c r="CN52" i="13"/>
  <c r="CN69" i="13"/>
  <c r="CH52" i="13"/>
  <c r="CQ52" i="13"/>
  <c r="CQ69" i="13"/>
  <c r="CS52" i="13"/>
  <c r="CS69" i="13"/>
  <c r="CU35" i="13"/>
  <c r="CL35" i="13"/>
  <c r="CR69" i="13"/>
  <c r="CU52" i="13"/>
  <c r="CU69" i="13"/>
  <c r="CH69" i="13"/>
  <c r="AD35" i="13"/>
  <c r="K35" i="13"/>
  <c r="BA35" i="13"/>
  <c r="AW35" i="13"/>
  <c r="BG35" i="13"/>
  <c r="AH35" i="13"/>
  <c r="AY35" i="13"/>
  <c r="L35" i="13"/>
  <c r="BF35" i="13"/>
  <c r="Z69" i="13"/>
  <c r="P35" i="13"/>
  <c r="BC35" i="13"/>
  <c r="H35" i="13"/>
  <c r="AA35" i="13"/>
  <c r="T35" i="13"/>
  <c r="BB35" i="13"/>
  <c r="W35" i="13"/>
  <c r="F35" i="13"/>
  <c r="AR35" i="13"/>
  <c r="AK35" i="13"/>
  <c r="AX35" i="13"/>
  <c r="AB35" i="13"/>
  <c r="AG35" i="13"/>
  <c r="I35" i="13"/>
  <c r="AP35" i="13"/>
  <c r="O35" i="13"/>
  <c r="AV35" i="13"/>
  <c r="AU35" i="13"/>
  <c r="AQ35" i="13"/>
  <c r="AS35" i="13"/>
  <c r="AC35" i="13"/>
  <c r="M35" i="13"/>
  <c r="AZ35" i="13"/>
  <c r="Z35" i="13"/>
  <c r="Q35" i="13"/>
  <c r="AT35" i="13"/>
  <c r="U35" i="13"/>
  <c r="AO35" i="13"/>
  <c r="AF35" i="13"/>
  <c r="BD35" i="13"/>
  <c r="AM35" i="13"/>
  <c r="V35" i="13"/>
  <c r="AJ35" i="13"/>
  <c r="AL35" i="13"/>
  <c r="S35" i="13"/>
  <c r="BH35" i="13"/>
  <c r="J35" i="13"/>
  <c r="X35" i="13"/>
  <c r="Y35" i="13"/>
  <c r="AI35" i="13"/>
  <c r="G35" i="13"/>
  <c r="AE35" i="13"/>
  <c r="N35" i="13"/>
  <c r="BE35" i="13"/>
  <c r="R35" i="13"/>
  <c r="AN35" i="13"/>
  <c r="CH64" i="13"/>
  <c r="BI60" i="13"/>
  <c r="Z64" i="13"/>
  <c r="BI67" i="13"/>
  <c r="Z66" i="13"/>
  <c r="BI61" i="13"/>
  <c r="CQ72" i="13"/>
  <c r="CS72" i="13"/>
  <c r="I71" i="12"/>
  <c r="L123" i="8"/>
  <c r="L74" i="8"/>
  <c r="L70" i="8"/>
  <c r="N16" i="13"/>
  <c r="G16" i="13"/>
  <c r="L16" i="13"/>
  <c r="Z16" i="13"/>
  <c r="AM16" i="13"/>
  <c r="M16" i="13"/>
  <c r="F16" i="13"/>
  <c r="AF16" i="13"/>
  <c r="U16" i="13"/>
  <c r="AA16" i="13"/>
  <c r="O16" i="13"/>
  <c r="AR16" i="13"/>
  <c r="Q16" i="13"/>
  <c r="S16" i="13"/>
  <c r="AK16" i="13"/>
  <c r="W16" i="13"/>
  <c r="P16" i="13"/>
  <c r="H16" i="13"/>
  <c r="K16" i="13"/>
  <c r="BC19" i="13"/>
  <c r="AY19" i="13"/>
  <c r="AX19" i="13"/>
  <c r="AU19" i="13"/>
  <c r="BG19" i="13"/>
  <c r="BF19" i="13"/>
  <c r="AQ19" i="13"/>
  <c r="AB19" i="13"/>
  <c r="AF19" i="13"/>
  <c r="AI19" i="13"/>
  <c r="AH19" i="13"/>
  <c r="AG19" i="13"/>
  <c r="AR19" i="13"/>
  <c r="AA19" i="13"/>
  <c r="BA19" i="13"/>
  <c r="AM19" i="13"/>
  <c r="AJ19" i="13"/>
  <c r="Z19" i="13"/>
  <c r="AQ16" i="13"/>
  <c r="R16" i="13"/>
  <c r="AC16" i="13"/>
  <c r="AJ16" i="13"/>
  <c r="AL16" i="13"/>
  <c r="AD16" i="13"/>
  <c r="X16" i="13"/>
  <c r="I16" i="13"/>
  <c r="V16" i="13"/>
  <c r="J16" i="13"/>
  <c r="AO16" i="13"/>
  <c r="AP16" i="13"/>
  <c r="AI16" i="13"/>
  <c r="T16" i="13"/>
  <c r="AG16" i="13"/>
  <c r="AB16" i="13"/>
  <c r="AH16" i="13"/>
  <c r="AN16" i="13"/>
  <c r="Y16" i="13"/>
  <c r="AE19" i="13"/>
  <c r="AD19" i="13"/>
  <c r="AW19" i="13"/>
  <c r="AT19" i="13"/>
  <c r="AP19" i="13"/>
  <c r="AO19" i="13"/>
  <c r="BE19" i="13"/>
  <c r="AN19" i="13"/>
  <c r="AC19" i="13"/>
  <c r="AZ19" i="13"/>
  <c r="AL19" i="13"/>
  <c r="AS19" i="13"/>
  <c r="BD19" i="13"/>
  <c r="BB19" i="13"/>
  <c r="AK19" i="13"/>
  <c r="AV19" i="13"/>
  <c r="L33" i="1"/>
  <c r="L70" i="1"/>
  <c r="L123" i="1"/>
  <c r="L74" i="1"/>
  <c r="M32" i="7"/>
  <c r="Y32" i="7"/>
  <c r="J43" i="7"/>
  <c r="J42" i="7"/>
  <c r="H78" i="9"/>
  <c r="Y30" i="7"/>
  <c r="AG30" i="7"/>
  <c r="AK30" i="7"/>
  <c r="H73" i="9"/>
  <c r="J50" i="7"/>
  <c r="J54" i="7"/>
  <c r="J45" i="7"/>
  <c r="AG15" i="7"/>
  <c r="AK15" i="7"/>
  <c r="Y15" i="7"/>
  <c r="AG17" i="7"/>
  <c r="AK17" i="7"/>
  <c r="Y17" i="7"/>
  <c r="J58" i="7"/>
  <c r="J52" i="7"/>
  <c r="H81" i="9"/>
  <c r="H86" i="9"/>
  <c r="J49" i="7"/>
  <c r="H85" i="9"/>
  <c r="J47" i="7"/>
  <c r="Y31" i="7"/>
  <c r="AG31" i="7"/>
  <c r="J39" i="7"/>
  <c r="J51" i="7"/>
  <c r="H75" i="9"/>
  <c r="BT72" i="13"/>
  <c r="BL72" i="13"/>
  <c r="BY72" i="13"/>
  <c r="BV72" i="13"/>
  <c r="BK72" i="13"/>
  <c r="BZ72" i="13"/>
  <c r="BR72" i="13"/>
  <c r="CB72" i="13"/>
  <c r="BO72" i="13"/>
  <c r="BM72" i="13"/>
  <c r="CG72" i="13"/>
  <c r="BI69" i="13"/>
  <c r="BI72" i="13"/>
  <c r="L73" i="8"/>
  <c r="AV38" i="13"/>
  <c r="AB38" i="13"/>
  <c r="AF38" i="13"/>
  <c r="AN38" i="13"/>
  <c r="AC38" i="13"/>
  <c r="AA38" i="13"/>
  <c r="AX38" i="13"/>
  <c r="AS38" i="13"/>
  <c r="AU38" i="13"/>
  <c r="K38" i="13"/>
  <c r="P38" i="13"/>
  <c r="X38" i="13"/>
  <c r="G38" i="13"/>
  <c r="L38" i="13"/>
  <c r="F38" i="13"/>
  <c r="BD38" i="13"/>
  <c r="AE38" i="13"/>
  <c r="BA38" i="13"/>
  <c r="AD38" i="13"/>
  <c r="BH38" i="13"/>
  <c r="BC38" i="13"/>
  <c r="AP38" i="13"/>
  <c r="M38" i="13"/>
  <c r="S38" i="13"/>
  <c r="T38" i="13"/>
  <c r="R38" i="13"/>
  <c r="AE110" i="13"/>
  <c r="AE111" i="13"/>
  <c r="CT38" i="13"/>
  <c r="CR72" i="13"/>
  <c r="CL38" i="13"/>
  <c r="CU72" i="13"/>
  <c r="CN72" i="13"/>
  <c r="CI38" i="13"/>
  <c r="CU38" i="13"/>
  <c r="CT72" i="13"/>
  <c r="CH38" i="13"/>
  <c r="CK38" i="13"/>
  <c r="CQ38" i="13"/>
  <c r="CR38" i="13"/>
  <c r="L33" i="8"/>
  <c r="CH62" i="13"/>
  <c r="AG14" i="7"/>
  <c r="AK14" i="7"/>
  <c r="Y14" i="7"/>
  <c r="AG12" i="7"/>
  <c r="Y12" i="7"/>
  <c r="Y19" i="7"/>
  <c r="AG19" i="7"/>
  <c r="H84" i="9"/>
  <c r="J61" i="7"/>
  <c r="J44" i="7"/>
  <c r="H79" i="9"/>
  <c r="J55" i="7"/>
  <c r="H77" i="9"/>
  <c r="J41" i="7"/>
  <c r="J56" i="7"/>
  <c r="J59" i="7"/>
  <c r="J48" i="7"/>
  <c r="H80" i="9"/>
  <c r="Y18" i="7"/>
  <c r="AG18" i="7"/>
  <c r="H87" i="9"/>
  <c r="J57" i="7"/>
  <c r="AG16" i="7"/>
  <c r="Y16" i="7"/>
  <c r="AK16" i="7"/>
  <c r="AG13" i="7"/>
  <c r="Y13" i="7"/>
  <c r="AK13" i="7"/>
  <c r="J60" i="7"/>
  <c r="J53" i="7"/>
  <c r="J40" i="7"/>
  <c r="H82" i="9"/>
  <c r="J46" i="7"/>
  <c r="M33" i="7"/>
  <c r="CY16" i="13"/>
  <c r="CR16" i="13"/>
  <c r="CT16" i="13"/>
  <c r="CV16" i="13"/>
  <c r="CZ16" i="13"/>
  <c r="CQ16" i="13"/>
  <c r="CW16" i="13"/>
  <c r="DA16" i="13"/>
  <c r="CX16" i="13"/>
  <c r="CU16" i="13"/>
  <c r="CS16" i="13"/>
  <c r="CA19" i="13"/>
  <c r="BK19" i="13"/>
  <c r="CF19" i="13"/>
  <c r="BR19" i="13"/>
  <c r="BQ19" i="13"/>
  <c r="BY19" i="13"/>
  <c r="BS19" i="13"/>
  <c r="CC19" i="13"/>
  <c r="BU19" i="13"/>
  <c r="BT19" i="13"/>
  <c r="BN19" i="13"/>
  <c r="BZ19" i="13"/>
  <c r="BA16" i="13"/>
  <c r="BV16" i="13"/>
  <c r="AV16" i="13"/>
  <c r="BD16" i="13"/>
  <c r="BB16" i="13"/>
  <c r="BI16" i="13"/>
  <c r="BM16" i="13"/>
  <c r="AX16" i="13"/>
  <c r="BO16" i="13"/>
  <c r="BL16" i="13"/>
  <c r="BU16" i="13"/>
  <c r="AT16" i="13"/>
  <c r="BT16" i="13"/>
  <c r="AS16" i="13"/>
  <c r="BC16" i="13"/>
  <c r="BM19" i="13"/>
  <c r="BO19" i="13"/>
  <c r="BJ19" i="13"/>
  <c r="BP19" i="13"/>
  <c r="BW19" i="13"/>
  <c r="BH19" i="13"/>
  <c r="CD19" i="13"/>
  <c r="CB19" i="13"/>
  <c r="CE19" i="13"/>
  <c r="BL19" i="13"/>
  <c r="BV19" i="13"/>
  <c r="BI19" i="13"/>
  <c r="BX19" i="13"/>
  <c r="AZ16" i="13"/>
  <c r="AW16" i="13"/>
  <c r="BE16" i="13"/>
  <c r="BP16" i="13"/>
  <c r="BG16" i="13"/>
  <c r="BN16" i="13"/>
  <c r="BQ16" i="13"/>
  <c r="AY16" i="13"/>
  <c r="AU16" i="13"/>
  <c r="BJ16" i="13"/>
  <c r="BF16" i="13"/>
  <c r="BK16" i="13"/>
  <c r="BH16" i="13"/>
  <c r="BR16" i="13"/>
  <c r="BS16" i="13"/>
  <c r="CI16" i="13"/>
  <c r="CC16" i="13"/>
  <c r="CL16" i="13"/>
  <c r="CG16" i="13"/>
  <c r="CE16" i="13"/>
  <c r="CO16" i="13"/>
  <c r="BZ16" i="13"/>
  <c r="CB16" i="13"/>
  <c r="CH16" i="13"/>
  <c r="CP16" i="13"/>
  <c r="CV19" i="13"/>
  <c r="CN19" i="13"/>
  <c r="CM19" i="13"/>
  <c r="CJ19" i="13"/>
  <c r="CH19" i="13"/>
  <c r="CP19" i="13"/>
  <c r="CQ19" i="13"/>
  <c r="CU19" i="13"/>
  <c r="CK16" i="13"/>
  <c r="CA16" i="13"/>
  <c r="CJ16" i="13"/>
  <c r="BX16" i="13"/>
  <c r="CD16" i="13"/>
  <c r="CM16" i="13"/>
  <c r="BW16" i="13"/>
  <c r="CN16" i="13"/>
  <c r="CF16" i="13"/>
  <c r="BY16" i="13"/>
  <c r="CR19" i="13"/>
  <c r="CI19" i="13"/>
  <c r="CO19" i="13"/>
  <c r="CT19" i="13"/>
  <c r="CK19" i="13"/>
  <c r="CS19" i="13"/>
  <c r="CL19" i="13"/>
  <c r="CG19" i="13"/>
  <c r="BQ72" i="13"/>
  <c r="CF72" i="13"/>
  <c r="BN72" i="13"/>
  <c r="BJ72" i="13"/>
  <c r="BW72" i="13"/>
  <c r="CC72" i="13"/>
  <c r="BP72" i="13"/>
  <c r="CD72" i="13"/>
  <c r="BU72" i="13"/>
  <c r="BS72" i="13"/>
  <c r="CE72" i="13"/>
  <c r="CA72" i="13"/>
  <c r="BX72" i="13"/>
  <c r="AQ38" i="13"/>
  <c r="AK38" i="13"/>
  <c r="Z38" i="13"/>
  <c r="AL38" i="13"/>
  <c r="BB38" i="13"/>
  <c r="AR38" i="13"/>
  <c r="AG38" i="13"/>
  <c r="AT38" i="13"/>
  <c r="AI38" i="13"/>
  <c r="N38" i="13"/>
  <c r="H38" i="13"/>
  <c r="W38" i="13"/>
  <c r="J38" i="13"/>
  <c r="O38" i="13"/>
  <c r="Q38" i="13"/>
  <c r="Z59" i="13"/>
  <c r="Z72" i="13"/>
  <c r="AH38" i="13"/>
  <c r="AM38" i="13"/>
  <c r="AY38" i="13"/>
  <c r="AZ38" i="13"/>
  <c r="BE38" i="13"/>
  <c r="BG38" i="13"/>
  <c r="BF38" i="13"/>
  <c r="AJ38" i="13"/>
  <c r="AO38" i="13"/>
  <c r="AW38" i="13"/>
  <c r="I38" i="13"/>
  <c r="U38" i="13"/>
  <c r="Y38" i="13"/>
  <c r="V38" i="13"/>
  <c r="CH72" i="13"/>
  <c r="CS38" i="13"/>
  <c r="CM72" i="13"/>
  <c r="CP38" i="13"/>
  <c r="CV72" i="13"/>
  <c r="CJ72" i="13"/>
  <c r="CM38" i="13"/>
  <c r="CI72" i="13"/>
  <c r="CO72" i="13"/>
  <c r="CJ38" i="13"/>
  <c r="CO38" i="13"/>
  <c r="CN38" i="13"/>
  <c r="CV38" i="13"/>
  <c r="L73" i="1"/>
  <c r="AG31" i="8"/>
  <c r="AK31" i="8"/>
  <c r="Y31" i="8"/>
  <c r="AG6" i="7"/>
  <c r="Y6" i="7"/>
  <c r="H74" i="9"/>
  <c r="M46" i="7"/>
  <c r="AC46" i="7"/>
  <c r="AA46" i="7"/>
  <c r="AE46" i="7"/>
  <c r="AG46" i="7"/>
  <c r="AK46" i="7"/>
  <c r="M53" i="7"/>
  <c r="AA53" i="7"/>
  <c r="AE53" i="7"/>
  <c r="AG53" i="7"/>
  <c r="AK53" i="7"/>
  <c r="AC53" i="7"/>
  <c r="AE60" i="7"/>
  <c r="AA60" i="7"/>
  <c r="AC60" i="7"/>
  <c r="AG60" i="7"/>
  <c r="M60" i="7"/>
  <c r="AI16" i="7"/>
  <c r="AJ16" i="7"/>
  <c r="M57" i="7"/>
  <c r="AC57" i="7"/>
  <c r="AG57" i="7"/>
  <c r="AE57" i="7"/>
  <c r="AA57" i="7"/>
  <c r="M59" i="7"/>
  <c r="AC59" i="7"/>
  <c r="AG59" i="7"/>
  <c r="AE59" i="7"/>
  <c r="AK59" i="7"/>
  <c r="AA59" i="7"/>
  <c r="AE56" i="7"/>
  <c r="AG56" i="7"/>
  <c r="AK56" i="7"/>
  <c r="AC56" i="7"/>
  <c r="M56" i="7"/>
  <c r="AA56" i="7"/>
  <c r="M41" i="7"/>
  <c r="M55" i="7"/>
  <c r="AC55" i="7"/>
  <c r="AG55" i="7"/>
  <c r="AE55" i="7"/>
  <c r="AA55" i="7"/>
  <c r="AA61" i="7"/>
  <c r="AE61" i="7"/>
  <c r="AG61" i="7"/>
  <c r="AK61" i="7"/>
  <c r="M61" i="7"/>
  <c r="AC61" i="7"/>
  <c r="AJ12" i="7"/>
  <c r="AI12" i="7"/>
  <c r="M111" i="7"/>
  <c r="J62" i="7"/>
  <c r="M39" i="7"/>
  <c r="AE47" i="7"/>
  <c r="AG47" i="7"/>
  <c r="AK47" i="7"/>
  <c r="AC47" i="7"/>
  <c r="M47" i="7"/>
  <c r="AA47" i="7"/>
  <c r="M49" i="7"/>
  <c r="AA49" i="7"/>
  <c r="AG49" i="7"/>
  <c r="AE49" i="7"/>
  <c r="AK49" i="7"/>
  <c r="AC49" i="7"/>
  <c r="H72" i="9"/>
  <c r="Z10" i="7"/>
  <c r="AE10" i="7"/>
  <c r="AD10" i="7"/>
  <c r="AB10" i="7"/>
  <c r="AB7" i="7"/>
  <c r="Z7" i="7"/>
  <c r="AD7" i="7"/>
  <c r="AI17" i="7"/>
  <c r="AJ17" i="7"/>
  <c r="M45" i="7"/>
  <c r="AE45" i="7"/>
  <c r="AG45" i="7"/>
  <c r="AA45" i="7"/>
  <c r="AC45" i="7"/>
  <c r="AE54" i="7"/>
  <c r="AC54" i="7"/>
  <c r="AG54" i="7"/>
  <c r="AA54" i="7"/>
  <c r="M54" i="7"/>
  <c r="AA50" i="7"/>
  <c r="M50" i="7"/>
  <c r="AE50" i="7"/>
  <c r="AC50" i="7"/>
  <c r="AG50" i="7"/>
  <c r="H83" i="9"/>
  <c r="M43" i="7"/>
  <c r="J71" i="7"/>
  <c r="M71" i="7"/>
  <c r="M120" i="7"/>
  <c r="G80" i="9"/>
  <c r="J48" i="1"/>
  <c r="G82" i="9"/>
  <c r="J46" i="1"/>
  <c r="Y17" i="1"/>
  <c r="AG17" i="1"/>
  <c r="J61" i="1"/>
  <c r="J44" i="1"/>
  <c r="AG16" i="1"/>
  <c r="Y16" i="1"/>
  <c r="J45" i="1"/>
  <c r="AG18" i="1"/>
  <c r="Y18" i="1"/>
  <c r="G86" i="9"/>
  <c r="J49" i="1"/>
  <c r="AG14" i="1"/>
  <c r="Y14" i="1"/>
  <c r="AK14" i="1"/>
  <c r="J43" i="1"/>
  <c r="J60" i="1"/>
  <c r="J57" i="1"/>
  <c r="J39" i="1"/>
  <c r="J56" i="1"/>
  <c r="J59" i="1"/>
  <c r="AK12" i="7"/>
  <c r="Y33" i="7"/>
  <c r="N33" i="7"/>
  <c r="M40" i="7"/>
  <c r="AJ13" i="7"/>
  <c r="AI13" i="7"/>
  <c r="AI18" i="7"/>
  <c r="AJ18" i="7"/>
  <c r="AE48" i="7"/>
  <c r="M48" i="7"/>
  <c r="AC48" i="7"/>
  <c r="AA48" i="7"/>
  <c r="AG48" i="7"/>
  <c r="AA44" i="7"/>
  <c r="AC44" i="7"/>
  <c r="AG44" i="7"/>
  <c r="AE44" i="7"/>
  <c r="M44" i="7"/>
  <c r="AI19" i="7"/>
  <c r="AJ19" i="7"/>
  <c r="AE9" i="7"/>
  <c r="AD9" i="7"/>
  <c r="AD42" i="7"/>
  <c r="AB9" i="7"/>
  <c r="AB42" i="7"/>
  <c r="Z9" i="7"/>
  <c r="AI14" i="7"/>
  <c r="AJ14" i="7"/>
  <c r="AC51" i="7"/>
  <c r="AG51" i="7"/>
  <c r="AE51" i="7"/>
  <c r="AK51" i="7"/>
  <c r="M51" i="7"/>
  <c r="AA51" i="7"/>
  <c r="AJ31" i="7"/>
  <c r="AI31" i="7"/>
  <c r="M52" i="7"/>
  <c r="AG52" i="7"/>
  <c r="AA52" i="7"/>
  <c r="AC52" i="7"/>
  <c r="AE52" i="7"/>
  <c r="AA58" i="7"/>
  <c r="AC58" i="7"/>
  <c r="M58" i="7"/>
  <c r="AE58" i="7"/>
  <c r="AG58" i="7"/>
  <c r="Z11" i="7"/>
  <c r="AE11" i="7"/>
  <c r="AD11" i="7"/>
  <c r="AD43" i="7"/>
  <c r="AE43" i="7"/>
  <c r="AB11" i="7"/>
  <c r="AB43" i="7"/>
  <c r="AC43" i="7"/>
  <c r="AI15" i="7"/>
  <c r="AJ15" i="7"/>
  <c r="AJ30" i="7"/>
  <c r="AI30" i="7"/>
  <c r="AE42" i="7"/>
  <c r="AC42" i="7"/>
  <c r="M42" i="7"/>
  <c r="AG15" i="1"/>
  <c r="Y15" i="1"/>
  <c r="J54" i="1"/>
  <c r="G87" i="9"/>
  <c r="J53" i="1"/>
  <c r="G73" i="9"/>
  <c r="J50" i="1"/>
  <c r="J47" i="1"/>
  <c r="G85" i="9"/>
  <c r="J42" i="1"/>
  <c r="J51" i="1"/>
  <c r="G75" i="9"/>
  <c r="J58" i="1"/>
  <c r="AG31" i="1"/>
  <c r="Y31" i="1"/>
  <c r="Y30" i="1"/>
  <c r="AG30" i="1"/>
  <c r="AG19" i="1"/>
  <c r="Y19" i="1"/>
  <c r="G84" i="9"/>
  <c r="G81" i="9"/>
  <c r="J52" i="1"/>
  <c r="G78" i="9"/>
  <c r="J40" i="1"/>
  <c r="AG12" i="1"/>
  <c r="Y12" i="1"/>
  <c r="AK12" i="1"/>
  <c r="J55" i="1"/>
  <c r="Y13" i="1"/>
  <c r="AG13" i="1"/>
  <c r="AK13" i="1"/>
  <c r="J41" i="1"/>
  <c r="G77" i="9"/>
  <c r="AK18" i="7"/>
  <c r="AK19" i="7"/>
  <c r="H76" i="9"/>
  <c r="AK31" i="7"/>
  <c r="M33" i="1"/>
  <c r="J70" i="7"/>
  <c r="M70" i="7"/>
  <c r="M119" i="7"/>
  <c r="M123" i="7"/>
  <c r="J74" i="7"/>
  <c r="M74" i="7"/>
  <c r="N36" i="7"/>
  <c r="Y33" i="1"/>
  <c r="N33" i="1"/>
  <c r="Y15" i="8"/>
  <c r="AG15" i="8"/>
  <c r="J53" i="8"/>
  <c r="J39" i="8"/>
  <c r="AG12" i="8"/>
  <c r="Y12" i="8"/>
  <c r="Y14" i="8"/>
  <c r="AG14" i="8"/>
  <c r="J50" i="8"/>
  <c r="I73" i="9"/>
  <c r="J61" i="8"/>
  <c r="J44" i="8"/>
  <c r="AG17" i="8"/>
  <c r="AK17" i="8"/>
  <c r="Y17" i="8"/>
  <c r="F81" i="9"/>
  <c r="J52" i="12"/>
  <c r="AG12" i="12"/>
  <c r="AK12" i="12"/>
  <c r="Y12" i="12"/>
  <c r="J58" i="12"/>
  <c r="J39" i="12"/>
  <c r="J59" i="12"/>
  <c r="AG13" i="12"/>
  <c r="Y13" i="12"/>
  <c r="AK13" i="12"/>
  <c r="J43" i="12"/>
  <c r="J60" i="12"/>
  <c r="F85" i="9"/>
  <c r="J47" i="12"/>
  <c r="F82" i="9"/>
  <c r="J46" i="12"/>
  <c r="F78" i="9"/>
  <c r="J42" i="12"/>
  <c r="AG29" i="12"/>
  <c r="Y29" i="12"/>
  <c r="AK29" i="12"/>
  <c r="F84" i="9"/>
  <c r="Y16" i="12"/>
  <c r="AG16" i="12"/>
  <c r="F86" i="9"/>
  <c r="J49" i="12"/>
  <c r="J53" i="12"/>
  <c r="J44" i="12"/>
  <c r="AG17" i="12"/>
  <c r="Y17" i="12"/>
  <c r="M41" i="1"/>
  <c r="AG55" i="1"/>
  <c r="AA55" i="1"/>
  <c r="M55" i="1"/>
  <c r="AE55" i="1"/>
  <c r="AK55" i="1"/>
  <c r="AC55" i="1"/>
  <c r="M40" i="1"/>
  <c r="AA52" i="1"/>
  <c r="M52" i="1"/>
  <c r="AE52" i="1"/>
  <c r="AC52" i="1"/>
  <c r="AG52" i="1"/>
  <c r="AJ19" i="1"/>
  <c r="AI19" i="1"/>
  <c r="G83" i="9"/>
  <c r="AA58" i="1"/>
  <c r="AE58" i="1"/>
  <c r="M58" i="1"/>
  <c r="AG58" i="1"/>
  <c r="AC58" i="1"/>
  <c r="AE50" i="1"/>
  <c r="M50" i="1"/>
  <c r="AA50" i="1"/>
  <c r="AC50" i="1"/>
  <c r="AG50" i="1"/>
  <c r="M53" i="1"/>
  <c r="AG53" i="1"/>
  <c r="AA53" i="1"/>
  <c r="AC53" i="1"/>
  <c r="AE53" i="1"/>
  <c r="AK53" i="1"/>
  <c r="AJ15" i="1"/>
  <c r="AI15" i="1"/>
  <c r="AJ58" i="7"/>
  <c r="AI58" i="7"/>
  <c r="AI51" i="7"/>
  <c r="AJ51" i="7"/>
  <c r="AJ44" i="7"/>
  <c r="AI44" i="7"/>
  <c r="AI48" i="7"/>
  <c r="AJ48" i="7"/>
  <c r="J43" i="8"/>
  <c r="I87" i="9"/>
  <c r="Y18" i="8"/>
  <c r="AG18" i="8"/>
  <c r="J41" i="8"/>
  <c r="J58" i="8"/>
  <c r="J60" i="8"/>
  <c r="Y30" i="8"/>
  <c r="AG30" i="8"/>
  <c r="J56" i="8"/>
  <c r="Y13" i="8"/>
  <c r="AG13" i="8"/>
  <c r="AK13" i="8"/>
  <c r="AE59" i="1"/>
  <c r="M59" i="1"/>
  <c r="AG59" i="1"/>
  <c r="AC59" i="1"/>
  <c r="AA59" i="1"/>
  <c r="AE8" i="1"/>
  <c r="AE9" i="1"/>
  <c r="AE10" i="1"/>
  <c r="AE11" i="1"/>
  <c r="AE67" i="1"/>
  <c r="AD8" i="1"/>
  <c r="AD41" i="1"/>
  <c r="AE41" i="1"/>
  <c r="AD9" i="1"/>
  <c r="AD42" i="1"/>
  <c r="AE42" i="1"/>
  <c r="AD11" i="1"/>
  <c r="AD43" i="1"/>
  <c r="AE43" i="1"/>
  <c r="AE44" i="1"/>
  <c r="AE45" i="1"/>
  <c r="AE46" i="1"/>
  <c r="AE47" i="1"/>
  <c r="AE48" i="1"/>
  <c r="AE49" i="1"/>
  <c r="AE51" i="1"/>
  <c r="AE54" i="1"/>
  <c r="AE56" i="1"/>
  <c r="AE57" i="1"/>
  <c r="AE60" i="1"/>
  <c r="AE61" i="1"/>
  <c r="AE39" i="1"/>
  <c r="AD39" i="1"/>
  <c r="AA67" i="1"/>
  <c r="Z8" i="1"/>
  <c r="Z41" i="1"/>
  <c r="AA41" i="1"/>
  <c r="Z9" i="1"/>
  <c r="Z42" i="1"/>
  <c r="AA42" i="1"/>
  <c r="Z11" i="1"/>
  <c r="Z43" i="1"/>
  <c r="AA43" i="1"/>
  <c r="AA44" i="1"/>
  <c r="AA45" i="1"/>
  <c r="AA46" i="1"/>
  <c r="AA47" i="1"/>
  <c r="AA48" i="1"/>
  <c r="AA49" i="1"/>
  <c r="AA51" i="1"/>
  <c r="AA54" i="1"/>
  <c r="AA56" i="1"/>
  <c r="AA57" i="1"/>
  <c r="AA60" i="1"/>
  <c r="AA61" i="1"/>
  <c r="AA39" i="1"/>
  <c r="Z39" i="1"/>
  <c r="J62" i="1"/>
  <c r="AC67" i="1"/>
  <c r="AB8" i="1"/>
  <c r="AB41" i="1"/>
  <c r="AC41" i="1"/>
  <c r="AB9" i="1"/>
  <c r="AB42" i="1"/>
  <c r="AC42" i="1"/>
  <c r="AB11" i="1"/>
  <c r="AB43" i="1"/>
  <c r="AC43" i="1"/>
  <c r="AC44" i="1"/>
  <c r="AC45" i="1"/>
  <c r="AC46" i="1"/>
  <c r="AC47" i="1"/>
  <c r="AC48" i="1"/>
  <c r="AC49" i="1"/>
  <c r="AC51" i="1"/>
  <c r="AC54" i="1"/>
  <c r="AC56" i="1"/>
  <c r="AC57" i="1"/>
  <c r="AC60" i="1"/>
  <c r="AC61" i="1"/>
  <c r="AC39" i="1"/>
  <c r="AB39" i="1"/>
  <c r="M39" i="1"/>
  <c r="AI14" i="1"/>
  <c r="AJ14" i="1"/>
  <c r="Z7" i="1"/>
  <c r="AB7" i="1"/>
  <c r="AD7" i="1"/>
  <c r="M45" i="1"/>
  <c r="AG45" i="1"/>
  <c r="AK45" i="1"/>
  <c r="AG44" i="1"/>
  <c r="M44" i="1"/>
  <c r="AI17" i="1"/>
  <c r="AJ17" i="1"/>
  <c r="AI50" i="7"/>
  <c r="AJ50" i="7"/>
  <c r="AJ54" i="7"/>
  <c r="AI54" i="7"/>
  <c r="AF7" i="7"/>
  <c r="AH7" i="7"/>
  <c r="AG7" i="7"/>
  <c r="AF10" i="7"/>
  <c r="AG10" i="7"/>
  <c r="AI49" i="7"/>
  <c r="AJ49" i="7"/>
  <c r="AI47" i="7"/>
  <c r="AJ47" i="7"/>
  <c r="M122" i="7"/>
  <c r="J73" i="7"/>
  <c r="AJ55" i="7"/>
  <c r="AI55" i="7"/>
  <c r="AI56" i="7"/>
  <c r="AJ56" i="7"/>
  <c r="AJ57" i="7"/>
  <c r="AI57" i="7"/>
  <c r="AJ60" i="7"/>
  <c r="AI60" i="7"/>
  <c r="AK30" i="1"/>
  <c r="G76" i="9"/>
  <c r="AK50" i="7"/>
  <c r="M62" i="7"/>
  <c r="I75" i="9"/>
  <c r="J51" i="8"/>
  <c r="I82" i="9"/>
  <c r="J46" i="8"/>
  <c r="I80" i="9"/>
  <c r="J48" i="8"/>
  <c r="I81" i="9"/>
  <c r="J52" i="8"/>
  <c r="I78" i="9"/>
  <c r="J42" i="8"/>
  <c r="Y16" i="8"/>
  <c r="AG16" i="8"/>
  <c r="J57" i="8"/>
  <c r="M32" i="1"/>
  <c r="Y32" i="1"/>
  <c r="F80" i="9"/>
  <c r="J48" i="12"/>
  <c r="F73" i="9"/>
  <c r="J50" i="12"/>
  <c r="M33" i="12"/>
  <c r="M32" i="12"/>
  <c r="Y32" i="12"/>
  <c r="F77" i="9"/>
  <c r="J41" i="12"/>
  <c r="J56" i="12"/>
  <c r="AG14" i="12"/>
  <c r="AK14" i="12"/>
  <c r="Y14" i="12"/>
  <c r="J61" i="12"/>
  <c r="AG18" i="12"/>
  <c r="Y18" i="12"/>
  <c r="AK18" i="12"/>
  <c r="F87" i="9"/>
  <c r="J54" i="12"/>
  <c r="J45" i="12"/>
  <c r="Y30" i="12"/>
  <c r="AG30" i="12"/>
  <c r="AG31" i="12"/>
  <c r="Y31" i="12"/>
  <c r="AK31" i="12"/>
  <c r="F75" i="9"/>
  <c r="J51" i="12"/>
  <c r="J40" i="12"/>
  <c r="J55" i="12"/>
  <c r="AG15" i="12"/>
  <c r="Y15" i="12"/>
  <c r="J57" i="12"/>
  <c r="AI13" i="1"/>
  <c r="AJ13" i="1"/>
  <c r="AJ12" i="1"/>
  <c r="AI12" i="1"/>
  <c r="AJ30" i="1"/>
  <c r="AI30" i="1"/>
  <c r="AJ31" i="1"/>
  <c r="AI31" i="1"/>
  <c r="M51" i="1"/>
  <c r="AG51" i="1"/>
  <c r="AK51" i="1"/>
  <c r="M42" i="1"/>
  <c r="M47" i="1"/>
  <c r="AG47" i="1"/>
  <c r="AG54" i="1"/>
  <c r="M54" i="1"/>
  <c r="AF11" i="7"/>
  <c r="AG11" i="7"/>
  <c r="Z43" i="7"/>
  <c r="AH11" i="7"/>
  <c r="AJ52" i="7"/>
  <c r="AI52" i="7"/>
  <c r="AF9" i="7"/>
  <c r="AG9" i="7"/>
  <c r="Z42" i="7"/>
  <c r="AH9" i="7"/>
  <c r="J49" i="8"/>
  <c r="I86" i="9"/>
  <c r="I84" i="9"/>
  <c r="AG19" i="8"/>
  <c r="Y19" i="8"/>
  <c r="AK19" i="8"/>
  <c r="J54" i="8"/>
  <c r="I85" i="9"/>
  <c r="J47" i="8"/>
  <c r="J55" i="8"/>
  <c r="J40" i="8"/>
  <c r="J59" i="8"/>
  <c r="I77" i="9"/>
  <c r="J45" i="8"/>
  <c r="AG6" i="1"/>
  <c r="Y6" i="1"/>
  <c r="Y34" i="1"/>
  <c r="G74" i="9"/>
  <c r="AG56" i="1"/>
  <c r="AK56" i="1"/>
  <c r="M56" i="1"/>
  <c r="M111" i="1"/>
  <c r="M57" i="1"/>
  <c r="AG57" i="1"/>
  <c r="AK57" i="1"/>
  <c r="M60" i="1"/>
  <c r="AG60" i="1"/>
  <c r="M43" i="1"/>
  <c r="G72" i="9"/>
  <c r="AD10" i="1"/>
  <c r="AB10" i="1"/>
  <c r="Z10" i="1"/>
  <c r="AG49" i="1"/>
  <c r="M49" i="1"/>
  <c r="AI18" i="1"/>
  <c r="AJ18" i="1"/>
  <c r="AJ16" i="1"/>
  <c r="AI16" i="1"/>
  <c r="AG61" i="1"/>
  <c r="M61" i="1"/>
  <c r="AK61" i="1"/>
  <c r="AG46" i="1"/>
  <c r="AK46" i="1"/>
  <c r="M46" i="1"/>
  <c r="AG48" i="1"/>
  <c r="AK48" i="1"/>
  <c r="M48" i="1"/>
  <c r="AJ45" i="7"/>
  <c r="AI45" i="7"/>
  <c r="M116" i="7"/>
  <c r="J67" i="7"/>
  <c r="AJ61" i="7"/>
  <c r="AI61" i="7"/>
  <c r="AI59" i="7"/>
  <c r="AJ59" i="7"/>
  <c r="AI53" i="7"/>
  <c r="AJ53" i="7"/>
  <c r="AJ46" i="7"/>
  <c r="AI46" i="7"/>
  <c r="AK6" i="7"/>
  <c r="AJ6" i="7"/>
  <c r="AI6" i="7"/>
  <c r="AJ31" i="8"/>
  <c r="AI31" i="8"/>
  <c r="AK19" i="1"/>
  <c r="AK31" i="1"/>
  <c r="AK15" i="1"/>
  <c r="AK58" i="7"/>
  <c r="AK52" i="7"/>
  <c r="AK44" i="7"/>
  <c r="AK48" i="7"/>
  <c r="AK18" i="1"/>
  <c r="AK16" i="1"/>
  <c r="G79" i="9"/>
  <c r="AK17" i="1"/>
  <c r="AK54" i="7"/>
  <c r="AK45" i="7"/>
  <c r="AK55" i="7"/>
  <c r="AK57" i="7"/>
  <c r="AK60" i="7"/>
  <c r="Y34" i="7"/>
  <c r="Z8" i="7"/>
  <c r="AG67" i="7"/>
  <c r="M67" i="7"/>
  <c r="AA67" i="7"/>
  <c r="AC67" i="7"/>
  <c r="AE67" i="7"/>
  <c r="AI48" i="1"/>
  <c r="AJ48" i="1"/>
  <c r="AF10" i="1"/>
  <c r="AG10" i="1"/>
  <c r="AI60" i="1"/>
  <c r="AJ60" i="1"/>
  <c r="AI57" i="1"/>
  <c r="AJ57" i="1"/>
  <c r="M116" i="1"/>
  <c r="AI6" i="1"/>
  <c r="AJ6" i="1"/>
  <c r="AC45" i="8"/>
  <c r="AE45" i="8"/>
  <c r="M45" i="8"/>
  <c r="AG45" i="8"/>
  <c r="AA45" i="8"/>
  <c r="Z9" i="8"/>
  <c r="AE9" i="8"/>
  <c r="AD9" i="8"/>
  <c r="AD42" i="8"/>
  <c r="AB9" i="8"/>
  <c r="AB42" i="8"/>
  <c r="AG59" i="8"/>
  <c r="AA59" i="8"/>
  <c r="M59" i="8"/>
  <c r="AE59" i="8"/>
  <c r="AK59" i="8"/>
  <c r="AC59" i="8"/>
  <c r="M40" i="8"/>
  <c r="AE55" i="8"/>
  <c r="M55" i="8"/>
  <c r="AC55" i="8"/>
  <c r="AA55" i="8"/>
  <c r="AG55" i="8"/>
  <c r="AG6" i="8"/>
  <c r="I74" i="9"/>
  <c r="Y6" i="8"/>
  <c r="AA54" i="8"/>
  <c r="M54" i="8"/>
  <c r="AG54" i="8"/>
  <c r="AE54" i="8"/>
  <c r="AC54" i="8"/>
  <c r="AF43" i="7"/>
  <c r="AG43" i="7"/>
  <c r="AK43" i="7"/>
  <c r="AA43" i="7"/>
  <c r="AJ54" i="1"/>
  <c r="AI54" i="1"/>
  <c r="AF11" i="1"/>
  <c r="AG11" i="1"/>
  <c r="AJ15" i="12"/>
  <c r="AI15" i="12"/>
  <c r="M51" i="12"/>
  <c r="AC51" i="12"/>
  <c r="AG51" i="12"/>
  <c r="AA51" i="12"/>
  <c r="AE51" i="12"/>
  <c r="AK51" i="12"/>
  <c r="AJ31" i="12"/>
  <c r="AI31" i="12"/>
  <c r="AI30" i="12"/>
  <c r="AJ30" i="12"/>
  <c r="AE45" i="12"/>
  <c r="AA45" i="12"/>
  <c r="AG45" i="12"/>
  <c r="M45" i="12"/>
  <c r="AC45" i="12"/>
  <c r="M61" i="12"/>
  <c r="AC61" i="12"/>
  <c r="AA61" i="12"/>
  <c r="AG61" i="12"/>
  <c r="AE61" i="12"/>
  <c r="AJ14" i="12"/>
  <c r="AI14" i="12"/>
  <c r="AC56" i="12"/>
  <c r="M56" i="12"/>
  <c r="AG56" i="12"/>
  <c r="AA56" i="12"/>
  <c r="AE56" i="12"/>
  <c r="AK56" i="12"/>
  <c r="M41" i="12"/>
  <c r="M120" i="12"/>
  <c r="J71" i="12"/>
  <c r="M71" i="12"/>
  <c r="Y6" i="12"/>
  <c r="AG6" i="12"/>
  <c r="F74" i="9"/>
  <c r="AE50" i="12"/>
  <c r="AC50" i="12"/>
  <c r="M50" i="12"/>
  <c r="AA50" i="12"/>
  <c r="AG50" i="12"/>
  <c r="AA48" i="12"/>
  <c r="M48" i="12"/>
  <c r="AG48" i="12"/>
  <c r="AE48" i="12"/>
  <c r="AK48" i="12"/>
  <c r="AC48" i="12"/>
  <c r="AE57" i="8"/>
  <c r="AC57" i="8"/>
  <c r="AA57" i="8"/>
  <c r="M57" i="8"/>
  <c r="AG57" i="8"/>
  <c r="AE10" i="8"/>
  <c r="AD10" i="8"/>
  <c r="AB10" i="8"/>
  <c r="Z10" i="8"/>
  <c r="M51" i="8"/>
  <c r="AC51" i="8"/>
  <c r="AA51" i="8"/>
  <c r="AE51" i="8"/>
  <c r="AG51" i="8"/>
  <c r="AK7" i="7"/>
  <c r="AI7" i="7"/>
  <c r="AI44" i="1"/>
  <c r="AJ44" i="1"/>
  <c r="AI45" i="1"/>
  <c r="AJ45" i="1"/>
  <c r="AF7" i="1"/>
  <c r="AG7" i="1"/>
  <c r="AH7" i="1"/>
  <c r="AI13" i="8"/>
  <c r="AJ13" i="8"/>
  <c r="M56" i="8"/>
  <c r="AC56" i="8"/>
  <c r="AG56" i="8"/>
  <c r="AE56" i="8"/>
  <c r="AA56" i="8"/>
  <c r="AI30" i="8"/>
  <c r="AJ30" i="8"/>
  <c r="AB11" i="8"/>
  <c r="AB43" i="8"/>
  <c r="AE11" i="8"/>
  <c r="AD11" i="8"/>
  <c r="AD43" i="8"/>
  <c r="Z11" i="8"/>
  <c r="AC60" i="8"/>
  <c r="AG60" i="8"/>
  <c r="M60" i="8"/>
  <c r="AE60" i="8"/>
  <c r="AK60" i="8"/>
  <c r="AA60" i="8"/>
  <c r="AA58" i="8"/>
  <c r="AC58" i="8"/>
  <c r="AG58" i="8"/>
  <c r="AE58" i="8"/>
  <c r="M58" i="8"/>
  <c r="M41" i="8"/>
  <c r="AJ18" i="8"/>
  <c r="AI18" i="8"/>
  <c r="AC43" i="8"/>
  <c r="M43" i="8"/>
  <c r="AE43" i="8"/>
  <c r="AI53" i="1"/>
  <c r="AJ53" i="1"/>
  <c r="AI58" i="1"/>
  <c r="AJ58" i="1"/>
  <c r="AI52" i="1"/>
  <c r="AJ52" i="1"/>
  <c r="AJ16" i="12"/>
  <c r="AI16" i="12"/>
  <c r="AJ29" i="12"/>
  <c r="AI29" i="12"/>
  <c r="AC60" i="12"/>
  <c r="M60" i="12"/>
  <c r="AG60" i="12"/>
  <c r="AA60" i="12"/>
  <c r="AE60" i="12"/>
  <c r="AK60" i="12"/>
  <c r="AC58" i="12"/>
  <c r="AG58" i="12"/>
  <c r="AE58" i="12"/>
  <c r="M58" i="12"/>
  <c r="AA58" i="12"/>
  <c r="AB11" i="12"/>
  <c r="AB43" i="12"/>
  <c r="Z11" i="12"/>
  <c r="AD11" i="12"/>
  <c r="AD43" i="12"/>
  <c r="AA52" i="12"/>
  <c r="AC52" i="12"/>
  <c r="M52" i="12"/>
  <c r="AG52" i="12"/>
  <c r="AE52" i="12"/>
  <c r="AK52" i="12"/>
  <c r="AI17" i="8"/>
  <c r="AJ17" i="8"/>
  <c r="AA61" i="8"/>
  <c r="M61" i="8"/>
  <c r="AG61" i="8"/>
  <c r="AE61" i="8"/>
  <c r="AK61" i="8"/>
  <c r="AC61" i="8"/>
  <c r="AC50" i="8"/>
  <c r="AA50" i="8"/>
  <c r="AG50" i="8"/>
  <c r="AE50" i="8"/>
  <c r="AK50" i="8"/>
  <c r="M50" i="8"/>
  <c r="J62" i="8"/>
  <c r="M39" i="8"/>
  <c r="AG53" i="8"/>
  <c r="AA53" i="8"/>
  <c r="M53" i="8"/>
  <c r="AE53" i="8"/>
  <c r="AK53" i="8"/>
  <c r="AC53" i="8"/>
  <c r="AI15" i="8"/>
  <c r="AJ15" i="8"/>
  <c r="AK49" i="1"/>
  <c r="AK60" i="1"/>
  <c r="AK54" i="1"/>
  <c r="AK47" i="1"/>
  <c r="AK15" i="12"/>
  <c r="AK30" i="12"/>
  <c r="AK16" i="8"/>
  <c r="AH10" i="7"/>
  <c r="AK30" i="8"/>
  <c r="AK52" i="1"/>
  <c r="AK17" i="12"/>
  <c r="F79" i="9"/>
  <c r="AK16" i="12"/>
  <c r="F76" i="9"/>
  <c r="I79" i="9"/>
  <c r="AK12" i="8"/>
  <c r="AJ11" i="7"/>
  <c r="AI46" i="1"/>
  <c r="AJ46" i="1"/>
  <c r="AJ61" i="1"/>
  <c r="AI61" i="1"/>
  <c r="AJ49" i="1"/>
  <c r="AI49" i="1"/>
  <c r="M122" i="1"/>
  <c r="AI56" i="1"/>
  <c r="AJ56" i="1"/>
  <c r="AK6" i="1"/>
  <c r="AG47" i="8"/>
  <c r="AA47" i="8"/>
  <c r="M47" i="8"/>
  <c r="AE47" i="8"/>
  <c r="AK47" i="8"/>
  <c r="AC47" i="8"/>
  <c r="M32" i="8"/>
  <c r="Y32" i="8"/>
  <c r="AJ19" i="8"/>
  <c r="AI19" i="8"/>
  <c r="AC49" i="8"/>
  <c r="AE49" i="8"/>
  <c r="AA49" i="8"/>
  <c r="AG49" i="8"/>
  <c r="M49" i="8"/>
  <c r="AF42" i="7"/>
  <c r="AG42" i="7"/>
  <c r="AK42" i="7"/>
  <c r="AA42" i="7"/>
  <c r="AI47" i="1"/>
  <c r="AJ47" i="1"/>
  <c r="AI51" i="1"/>
  <c r="AJ51" i="1"/>
  <c r="AG57" i="12"/>
  <c r="AC57" i="12"/>
  <c r="AE57" i="12"/>
  <c r="AK57" i="12"/>
  <c r="AA57" i="12"/>
  <c r="M57" i="12"/>
  <c r="AG55" i="12"/>
  <c r="AA55" i="12"/>
  <c r="M55" i="12"/>
  <c r="AC55" i="12"/>
  <c r="AE55" i="12"/>
  <c r="AK55" i="12"/>
  <c r="AE8" i="12"/>
  <c r="AD8" i="12"/>
  <c r="AD41" i="12"/>
  <c r="AE41" i="12"/>
  <c r="AB8" i="12"/>
  <c r="AB41" i="12"/>
  <c r="AC41" i="12"/>
  <c r="Z8" i="12"/>
  <c r="AD7" i="12"/>
  <c r="Z7" i="12"/>
  <c r="AB7" i="12"/>
  <c r="Z40" i="12"/>
  <c r="M40" i="12"/>
  <c r="AD40" i="12"/>
  <c r="AB40" i="12"/>
  <c r="F83" i="9"/>
  <c r="AG54" i="12"/>
  <c r="AE54" i="12"/>
  <c r="AK54" i="12"/>
  <c r="AC54" i="12"/>
  <c r="AA54" i="12"/>
  <c r="M54" i="12"/>
  <c r="AI18" i="12"/>
  <c r="AJ18" i="12"/>
  <c r="N33" i="12"/>
  <c r="Y33" i="12"/>
  <c r="M71" i="1"/>
  <c r="M120" i="1"/>
  <c r="AI16" i="8"/>
  <c r="AJ16" i="8"/>
  <c r="AB7" i="8"/>
  <c r="AD7" i="8"/>
  <c r="Z7" i="8"/>
  <c r="M42" i="8"/>
  <c r="AE42" i="8"/>
  <c r="AC42" i="8"/>
  <c r="AG52" i="8"/>
  <c r="M52" i="8"/>
  <c r="AA52" i="8"/>
  <c r="AE52" i="8"/>
  <c r="AC52" i="8"/>
  <c r="AG48" i="8"/>
  <c r="M48" i="8"/>
  <c r="AA48" i="8"/>
  <c r="AE48" i="8"/>
  <c r="AK48" i="8"/>
  <c r="AC48" i="8"/>
  <c r="M46" i="8"/>
  <c r="AG46" i="8"/>
  <c r="AA46" i="8"/>
  <c r="AC46" i="8"/>
  <c r="AE46" i="8"/>
  <c r="AK46" i="8"/>
  <c r="I72" i="9"/>
  <c r="J72" i="7"/>
  <c r="M72" i="7"/>
  <c r="M121" i="7"/>
  <c r="AF39" i="1"/>
  <c r="AG39" i="1"/>
  <c r="AH39" i="1"/>
  <c r="AI59" i="1"/>
  <c r="AJ59" i="1"/>
  <c r="I83" i="9"/>
  <c r="AI50" i="1"/>
  <c r="AJ50" i="1"/>
  <c r="AJ55" i="1"/>
  <c r="AI55" i="1"/>
  <c r="AJ17" i="12"/>
  <c r="AI17" i="12"/>
  <c r="AE44" i="12"/>
  <c r="AG44" i="12"/>
  <c r="M44" i="12"/>
  <c r="AC44" i="12"/>
  <c r="AA44" i="12"/>
  <c r="AG53" i="12"/>
  <c r="M53" i="12"/>
  <c r="AC53" i="12"/>
  <c r="AE53" i="12"/>
  <c r="AA53" i="12"/>
  <c r="AA49" i="12"/>
  <c r="AE49" i="12"/>
  <c r="M49" i="12"/>
  <c r="AG49" i="12"/>
  <c r="AC49" i="12"/>
  <c r="F72" i="9"/>
  <c r="AE10" i="12"/>
  <c r="AD10" i="12"/>
  <c r="AB10" i="12"/>
  <c r="Z10" i="12"/>
  <c r="M42" i="12"/>
  <c r="AE46" i="12"/>
  <c r="AG46" i="12"/>
  <c r="AK46" i="12"/>
  <c r="AA46" i="12"/>
  <c r="AC46" i="12"/>
  <c r="M46" i="12"/>
  <c r="AE47" i="12"/>
  <c r="M47" i="12"/>
  <c r="AA47" i="12"/>
  <c r="AC47" i="12"/>
  <c r="AG47" i="12"/>
  <c r="AE43" i="12"/>
  <c r="M43" i="12"/>
  <c r="AC43" i="12"/>
  <c r="AJ13" i="12"/>
  <c r="AI13" i="12"/>
  <c r="AG59" i="12"/>
  <c r="AE59" i="12"/>
  <c r="AA59" i="12"/>
  <c r="AC59" i="12"/>
  <c r="M59" i="12"/>
  <c r="Z39" i="12"/>
  <c r="J62" i="12"/>
  <c r="AD39" i="12"/>
  <c r="M39" i="12"/>
  <c r="M62" i="12"/>
  <c r="AB39" i="12"/>
  <c r="M111" i="12"/>
  <c r="AI12" i="12"/>
  <c r="AJ12" i="12"/>
  <c r="AG44" i="8"/>
  <c r="M44" i="8"/>
  <c r="AA44" i="8"/>
  <c r="AE44" i="8"/>
  <c r="AK44" i="8"/>
  <c r="AC44" i="8"/>
  <c r="AJ14" i="8"/>
  <c r="AI14" i="8"/>
  <c r="AJ12" i="8"/>
  <c r="AI12" i="8"/>
  <c r="M111" i="8"/>
  <c r="M33" i="8"/>
  <c r="AK44" i="1"/>
  <c r="M62" i="1"/>
  <c r="AK59" i="1"/>
  <c r="AK18" i="8"/>
  <c r="AK50" i="1"/>
  <c r="AK58" i="1"/>
  <c r="AK14" i="8"/>
  <c r="I76" i="9"/>
  <c r="AK15" i="8"/>
  <c r="J70" i="8"/>
  <c r="M70" i="8"/>
  <c r="J74" i="8"/>
  <c r="M74" i="8"/>
  <c r="N36" i="8"/>
  <c r="M119" i="8"/>
  <c r="M123" i="8"/>
  <c r="AB8" i="7"/>
  <c r="AB41" i="7"/>
  <c r="AC41" i="7"/>
  <c r="Y33" i="8"/>
  <c r="N33" i="8"/>
  <c r="AJ44" i="8"/>
  <c r="AI44" i="8"/>
  <c r="M116" i="12"/>
  <c r="J67" i="12"/>
  <c r="AF39" i="12"/>
  <c r="AG39" i="12"/>
  <c r="AH39" i="12"/>
  <c r="AJ47" i="12"/>
  <c r="AI47" i="12"/>
  <c r="AJ49" i="12"/>
  <c r="AI49" i="12"/>
  <c r="AJ44" i="12"/>
  <c r="AI44" i="12"/>
  <c r="AJ48" i="8"/>
  <c r="AI48" i="8"/>
  <c r="AJ57" i="12"/>
  <c r="AI57" i="12"/>
  <c r="AJ42" i="7"/>
  <c r="AI42" i="7"/>
  <c r="J71" i="8"/>
  <c r="M71" i="8"/>
  <c r="M120" i="8"/>
  <c r="M72" i="1"/>
  <c r="M121" i="1"/>
  <c r="AJ53" i="8"/>
  <c r="AI53" i="8"/>
  <c r="AI52" i="12"/>
  <c r="AJ52" i="12"/>
  <c r="AF11" i="12"/>
  <c r="AG11" i="12"/>
  <c r="Z43" i="12"/>
  <c r="AI58" i="12"/>
  <c r="AJ58" i="12"/>
  <c r="AI60" i="12"/>
  <c r="AJ60" i="12"/>
  <c r="AJ58" i="8"/>
  <c r="AI58" i="8"/>
  <c r="AF11" i="8"/>
  <c r="AG11" i="8"/>
  <c r="Z43" i="8"/>
  <c r="AH11" i="8"/>
  <c r="AI56" i="8"/>
  <c r="AJ56" i="8"/>
  <c r="AK7" i="1"/>
  <c r="AI7" i="1"/>
  <c r="AF10" i="8"/>
  <c r="AG10" i="8"/>
  <c r="AH10" i="8"/>
  <c r="AJ48" i="12"/>
  <c r="AI48" i="12"/>
  <c r="AI50" i="12"/>
  <c r="AJ50" i="12"/>
  <c r="AJ6" i="12"/>
  <c r="AI6" i="12"/>
  <c r="AI56" i="12"/>
  <c r="AJ56" i="12"/>
  <c r="AI61" i="12"/>
  <c r="AJ61" i="12"/>
  <c r="AJ45" i="12"/>
  <c r="AI45" i="12"/>
  <c r="AJ43" i="7"/>
  <c r="AI43" i="7"/>
  <c r="AI6" i="8"/>
  <c r="AJ6" i="8"/>
  <c r="AJ45" i="8"/>
  <c r="AI45" i="8"/>
  <c r="AJ10" i="1"/>
  <c r="AK67" i="7"/>
  <c r="AJ67" i="7"/>
  <c r="AI67" i="7"/>
  <c r="AK59" i="12"/>
  <c r="AK47" i="12"/>
  <c r="AK53" i="12"/>
  <c r="AK44" i="12"/>
  <c r="AK52" i="8"/>
  <c r="AH42" i="7"/>
  <c r="AK49" i="8"/>
  <c r="AK11" i="1"/>
  <c r="AJ9" i="7"/>
  <c r="AK9" i="7"/>
  <c r="M62" i="8"/>
  <c r="AK58" i="12"/>
  <c r="AK51" i="8"/>
  <c r="Y34" i="12"/>
  <c r="AK61" i="12"/>
  <c r="AH11" i="1"/>
  <c r="AH43" i="7"/>
  <c r="AK54" i="8"/>
  <c r="Y34" i="8"/>
  <c r="AK55" i="8"/>
  <c r="AH10" i="1"/>
  <c r="AJ8" i="7"/>
  <c r="AJ10" i="7"/>
  <c r="M116" i="8"/>
  <c r="J67" i="8"/>
  <c r="M122" i="8"/>
  <c r="J73" i="8"/>
  <c r="J74" i="12"/>
  <c r="M74" i="12"/>
  <c r="N36" i="12"/>
  <c r="M119" i="12"/>
  <c r="M123" i="12"/>
  <c r="J70" i="12"/>
  <c r="M70" i="12"/>
  <c r="J73" i="12"/>
  <c r="M122" i="12"/>
  <c r="AI59" i="12"/>
  <c r="AJ59" i="12"/>
  <c r="AJ46" i="12"/>
  <c r="AI46" i="12"/>
  <c r="AF10" i="12"/>
  <c r="AG10" i="12"/>
  <c r="AI53" i="12"/>
  <c r="AJ53" i="12"/>
  <c r="AI46" i="8"/>
  <c r="AJ46" i="8"/>
  <c r="AJ52" i="8"/>
  <c r="AI52" i="8"/>
  <c r="AF7" i="8"/>
  <c r="AG7" i="8"/>
  <c r="AJ54" i="12"/>
  <c r="AI54" i="12"/>
  <c r="AF40" i="12"/>
  <c r="AG40" i="12"/>
  <c r="AF7" i="12"/>
  <c r="AG7" i="12"/>
  <c r="AF8" i="12"/>
  <c r="AG8" i="12"/>
  <c r="Z41" i="12"/>
  <c r="AH8" i="12"/>
  <c r="AI55" i="12"/>
  <c r="AJ55" i="12"/>
  <c r="AJ49" i="8"/>
  <c r="AI49" i="8"/>
  <c r="AI47" i="8"/>
  <c r="AJ47" i="8"/>
  <c r="M74" i="1"/>
  <c r="N36" i="1"/>
  <c r="M70" i="1"/>
  <c r="M119" i="1"/>
  <c r="M123" i="1"/>
  <c r="AI50" i="8"/>
  <c r="AJ50" i="8"/>
  <c r="AJ61" i="8"/>
  <c r="AI61" i="8"/>
  <c r="AI60" i="8"/>
  <c r="AJ60" i="8"/>
  <c r="AJ51" i="8"/>
  <c r="AI51" i="8"/>
  <c r="AJ57" i="8"/>
  <c r="AI57" i="8"/>
  <c r="AK6" i="12"/>
  <c r="AB9" i="12"/>
  <c r="AB42" i="12"/>
  <c r="AC42" i="12"/>
  <c r="AI51" i="12"/>
  <c r="AJ51" i="12"/>
  <c r="AF43" i="1"/>
  <c r="AG43" i="1"/>
  <c r="AK43" i="1"/>
  <c r="AI54" i="8"/>
  <c r="AJ54" i="8"/>
  <c r="AK6" i="8"/>
  <c r="AB8" i="8"/>
  <c r="AB41" i="8"/>
  <c r="AC41" i="8"/>
  <c r="AF9" i="8"/>
  <c r="AG9" i="8"/>
  <c r="AK9" i="8"/>
  <c r="AI55" i="8"/>
  <c r="AJ55" i="8"/>
  <c r="AJ59" i="8"/>
  <c r="AI59" i="8"/>
  <c r="Z42" i="8"/>
  <c r="AH9" i="8"/>
  <c r="AJ8" i="1"/>
  <c r="AJ9" i="1"/>
  <c r="AJ11" i="1"/>
  <c r="AI11" i="1"/>
  <c r="M67" i="1"/>
  <c r="M73" i="1"/>
  <c r="AG67" i="1"/>
  <c r="AC40" i="7"/>
  <c r="AB40" i="7"/>
  <c r="AC39" i="7"/>
  <c r="Z41" i="7"/>
  <c r="AE8" i="7"/>
  <c r="AK49" i="12"/>
  <c r="AK10" i="1"/>
  <c r="AK10" i="7"/>
  <c r="AK58" i="8"/>
  <c r="AK56" i="8"/>
  <c r="AK57" i="8"/>
  <c r="AK50" i="12"/>
  <c r="AK45" i="12"/>
  <c r="AK45" i="8"/>
  <c r="M73" i="7"/>
  <c r="AK8" i="12"/>
  <c r="AD8" i="7"/>
  <c r="AA41" i="7"/>
  <c r="AC62" i="7"/>
  <c r="AC73" i="7"/>
  <c r="AB39" i="7"/>
  <c r="AI67" i="1"/>
  <c r="AJ67" i="1"/>
  <c r="AF42" i="8"/>
  <c r="AG42" i="8"/>
  <c r="AK42" i="8"/>
  <c r="AH42" i="8"/>
  <c r="AA42" i="8"/>
  <c r="AI7" i="12"/>
  <c r="AK7" i="12"/>
  <c r="AK7" i="8"/>
  <c r="AI7" i="8"/>
  <c r="J72" i="12"/>
  <c r="M72" i="12"/>
  <c r="M121" i="12"/>
  <c r="AA67" i="8"/>
  <c r="AE67" i="8"/>
  <c r="AG67" i="8"/>
  <c r="AC67" i="8"/>
  <c r="M67" i="8"/>
  <c r="AK11" i="7"/>
  <c r="AI11" i="7"/>
  <c r="AJ10" i="8"/>
  <c r="AJ9" i="8"/>
  <c r="AI9" i="8"/>
  <c r="AJ8" i="8"/>
  <c r="Z8" i="8"/>
  <c r="AJ11" i="12"/>
  <c r="AJ9" i="12"/>
  <c r="Z9" i="12"/>
  <c r="AC67" i="12"/>
  <c r="AA67" i="12"/>
  <c r="M67" i="12"/>
  <c r="M73" i="12"/>
  <c r="AE67" i="12"/>
  <c r="AG67" i="12"/>
  <c r="AK11" i="8"/>
  <c r="AE11" i="12"/>
  <c r="AK11" i="12"/>
  <c r="AK10" i="12"/>
  <c r="AI10" i="1"/>
  <c r="AI9" i="7"/>
  <c r="AK67" i="1"/>
  <c r="AF9" i="1"/>
  <c r="AG9" i="1"/>
  <c r="AK9" i="1"/>
  <c r="AH9" i="1"/>
  <c r="AI43" i="1"/>
  <c r="AJ43" i="1"/>
  <c r="AF41" i="12"/>
  <c r="AG41" i="12"/>
  <c r="AK41" i="12"/>
  <c r="AH41" i="12"/>
  <c r="AA41" i="12"/>
  <c r="J72" i="8"/>
  <c r="M72" i="8"/>
  <c r="M121" i="8"/>
  <c r="AJ11" i="8"/>
  <c r="AI11" i="8"/>
  <c r="AJ8" i="12"/>
  <c r="AI8" i="12"/>
  <c r="AJ10" i="12"/>
  <c r="AI10" i="12"/>
  <c r="AF43" i="8"/>
  <c r="AG43" i="8"/>
  <c r="AK43" i="8"/>
  <c r="AA43" i="8"/>
  <c r="AF43" i="12"/>
  <c r="AG43" i="12"/>
  <c r="AK43" i="12"/>
  <c r="AA43" i="12"/>
  <c r="AI9" i="1"/>
  <c r="AK10" i="8"/>
  <c r="AE8" i="8"/>
  <c r="AH43" i="1"/>
  <c r="AE9" i="12"/>
  <c r="AH7" i="12"/>
  <c r="AH40" i="12"/>
  <c r="AH7" i="8"/>
  <c r="AH10" i="12"/>
  <c r="AH11" i="12"/>
  <c r="AI10" i="7"/>
  <c r="AD9" i="12"/>
  <c r="AD42" i="12"/>
  <c r="AE42" i="12"/>
  <c r="AI43" i="12"/>
  <c r="AJ43" i="12"/>
  <c r="AI41" i="12"/>
  <c r="AJ41" i="12"/>
  <c r="AF42" i="1"/>
  <c r="AG42" i="1"/>
  <c r="Z41" i="8"/>
  <c r="AC39" i="8"/>
  <c r="AC40" i="8"/>
  <c r="AB40" i="8"/>
  <c r="AK67" i="8"/>
  <c r="AI42" i="8"/>
  <c r="AJ42" i="8"/>
  <c r="AJ41" i="7"/>
  <c r="AA39" i="7"/>
  <c r="AA40" i="7"/>
  <c r="AD41" i="7"/>
  <c r="AF8" i="7"/>
  <c r="AG8" i="7"/>
  <c r="AH43" i="12"/>
  <c r="AH43" i="8"/>
  <c r="AF8" i="1"/>
  <c r="AG8" i="1"/>
  <c r="AD8" i="8"/>
  <c r="AD41" i="8"/>
  <c r="AE41" i="8"/>
  <c r="AI43" i="8"/>
  <c r="AJ43" i="8"/>
  <c r="Z42" i="12"/>
  <c r="AA42" i="12"/>
  <c r="AA39" i="12"/>
  <c r="AA40" i="12"/>
  <c r="AC39" i="12"/>
  <c r="AC40" i="12"/>
  <c r="AE40" i="12"/>
  <c r="AK40" i="12"/>
  <c r="AK67" i="12"/>
  <c r="AE39" i="12"/>
  <c r="AJ67" i="12"/>
  <c r="AI67" i="12"/>
  <c r="AF9" i="12"/>
  <c r="AG9" i="12"/>
  <c r="AJ67" i="8"/>
  <c r="AI67" i="8"/>
  <c r="AF41" i="1"/>
  <c r="AH41" i="1"/>
  <c r="AG41" i="1"/>
  <c r="AK41" i="1"/>
  <c r="AK42" i="1"/>
  <c r="AI11" i="12"/>
  <c r="AI10" i="8"/>
  <c r="M73" i="8"/>
  <c r="AH8" i="1"/>
  <c r="AJ41" i="1"/>
  <c r="AI41" i="1"/>
  <c r="AA40" i="1"/>
  <c r="AK39" i="12"/>
  <c r="AE62" i="12"/>
  <c r="AE73" i="12"/>
  <c r="AI8" i="1"/>
  <c r="AK8" i="1"/>
  <c r="AE41" i="7"/>
  <c r="AF41" i="7"/>
  <c r="AG41" i="7"/>
  <c r="AA62" i="7"/>
  <c r="AJ39" i="7"/>
  <c r="Z39" i="7"/>
  <c r="AH8" i="7"/>
  <c r="AE40" i="8"/>
  <c r="AF8" i="8"/>
  <c r="AG8" i="8"/>
  <c r="AH42" i="1"/>
  <c r="AF42" i="12"/>
  <c r="AG42" i="12"/>
  <c r="AK42" i="12"/>
  <c r="AG62" i="12"/>
  <c r="AH42" i="12"/>
  <c r="AI8" i="7"/>
  <c r="AK8" i="7"/>
  <c r="AJ40" i="7"/>
  <c r="Z40" i="7"/>
  <c r="AC62" i="8"/>
  <c r="AC73" i="8"/>
  <c r="AB39" i="8"/>
  <c r="AF41" i="8"/>
  <c r="AG41" i="8"/>
  <c r="AK41" i="8"/>
  <c r="AA41" i="8"/>
  <c r="AI42" i="1"/>
  <c r="AJ42" i="1"/>
  <c r="AH9" i="12"/>
  <c r="AI9" i="12"/>
  <c r="AE39" i="8"/>
  <c r="AK9" i="12"/>
  <c r="AE62" i="8"/>
  <c r="AE73" i="8"/>
  <c r="AD39" i="8"/>
  <c r="AJ42" i="12"/>
  <c r="AI42" i="12"/>
  <c r="AA75" i="12"/>
  <c r="AG73" i="12"/>
  <c r="AG72" i="12"/>
  <c r="AA73" i="7"/>
  <c r="Z40" i="1"/>
  <c r="AH41" i="8"/>
  <c r="AH8" i="8"/>
  <c r="AH41" i="7"/>
  <c r="AK62" i="12"/>
  <c r="AJ41" i="8"/>
  <c r="AI41" i="8"/>
  <c r="AA39" i="8"/>
  <c r="AA40" i="8"/>
  <c r="AK8" i="8"/>
  <c r="AI8" i="8"/>
  <c r="AD40" i="8"/>
  <c r="AK41" i="7"/>
  <c r="AE40" i="7"/>
  <c r="AE39" i="7"/>
  <c r="AI41" i="7"/>
  <c r="AA62" i="1"/>
  <c r="AC40" i="1"/>
  <c r="AB40" i="1"/>
  <c r="AC62" i="1"/>
  <c r="AC73" i="1"/>
  <c r="AJ62" i="7"/>
  <c r="AK73" i="12"/>
  <c r="AA73" i="1"/>
  <c r="AE62" i="7"/>
  <c r="AE73" i="7"/>
  <c r="AD39" i="7"/>
  <c r="AJ40" i="8"/>
  <c r="Z40" i="8"/>
  <c r="AE40" i="1"/>
  <c r="AI39" i="1"/>
  <c r="AJ40" i="1"/>
  <c r="AD40" i="7"/>
  <c r="AA62" i="8"/>
  <c r="AJ39" i="8"/>
  <c r="AJ62" i="8"/>
  <c r="Z39" i="8"/>
  <c r="AJ73" i="7"/>
  <c r="AA62" i="12"/>
  <c r="AJ40" i="12"/>
  <c r="AC62" i="12"/>
  <c r="AC73" i="12"/>
  <c r="AJ39" i="1"/>
  <c r="AJ62" i="1"/>
  <c r="AA73" i="12"/>
  <c r="AA76" i="12"/>
  <c r="AF39" i="8"/>
  <c r="AG39" i="8"/>
  <c r="AD40" i="1"/>
  <c r="AF40" i="8"/>
  <c r="AG40" i="8"/>
  <c r="AH40" i="8"/>
  <c r="AF39" i="7"/>
  <c r="AG39" i="7"/>
  <c r="AJ73" i="1"/>
  <c r="AI40" i="12"/>
  <c r="AA73" i="8"/>
  <c r="AF40" i="7"/>
  <c r="AG40" i="7"/>
  <c r="AK39" i="1"/>
  <c r="AE62" i="1"/>
  <c r="AE73" i="1"/>
  <c r="AI39" i="12"/>
  <c r="AI62" i="12"/>
  <c r="AJ39" i="12"/>
  <c r="AJ62" i="12"/>
  <c r="AJ73" i="8"/>
  <c r="AK40" i="8"/>
  <c r="AI40" i="8"/>
  <c r="AJ73" i="12"/>
  <c r="AI73" i="12"/>
  <c r="AH40" i="7"/>
  <c r="AH39" i="7"/>
  <c r="AH39" i="8"/>
  <c r="AK40" i="7"/>
  <c r="AI40" i="7"/>
  <c r="AG62" i="7"/>
  <c r="AK39" i="7"/>
  <c r="AI39" i="7"/>
  <c r="AI62" i="7"/>
  <c r="AF40" i="1"/>
  <c r="AG40" i="1"/>
  <c r="AH40" i="1"/>
  <c r="AG62" i="8"/>
  <c r="AK39" i="8"/>
  <c r="AK62" i="8"/>
  <c r="AI39" i="8"/>
  <c r="AI62" i="8"/>
  <c r="AA32" i="12"/>
  <c r="AA71" i="12"/>
  <c r="Z32" i="12"/>
  <c r="AA34" i="12"/>
  <c r="AA33" i="12"/>
  <c r="AG73" i="8"/>
  <c r="AA75" i="8"/>
  <c r="AG72" i="8"/>
  <c r="AA76" i="8"/>
  <c r="AG62" i="1"/>
  <c r="AI40" i="1"/>
  <c r="AI62" i="1"/>
  <c r="AK40" i="1"/>
  <c r="AK62" i="1"/>
  <c r="AK62" i="7"/>
  <c r="AG72" i="7"/>
  <c r="AG73" i="7"/>
  <c r="AA75" i="7"/>
  <c r="AA76" i="7"/>
  <c r="AA32" i="8"/>
  <c r="AA74" i="12"/>
  <c r="AA72" i="12"/>
  <c r="AC76" i="12"/>
  <c r="AA32" i="7"/>
  <c r="AI73" i="7"/>
  <c r="AK73" i="7"/>
  <c r="AG72" i="1"/>
  <c r="AG73" i="1"/>
  <c r="AA75" i="1"/>
  <c r="AA76" i="1"/>
  <c r="AK73" i="8"/>
  <c r="AI73" i="8"/>
  <c r="AA32" i="1"/>
  <c r="AK73" i="1"/>
  <c r="AI73" i="1"/>
  <c r="AC75" i="12"/>
  <c r="AA71" i="7"/>
  <c r="Z32" i="7"/>
  <c r="AA34" i="7"/>
  <c r="AA33" i="7"/>
  <c r="AC32" i="12"/>
  <c r="AA71" i="8"/>
  <c r="Z32" i="8"/>
  <c r="AA34" i="8"/>
  <c r="AA33" i="8"/>
  <c r="AA74" i="8"/>
  <c r="AA74" i="7"/>
  <c r="AC76" i="7"/>
  <c r="AA72" i="7"/>
  <c r="AA71" i="1"/>
  <c r="Z32" i="1"/>
  <c r="AA34" i="1"/>
  <c r="AA33" i="1"/>
  <c r="AC76" i="8"/>
  <c r="AA72" i="8"/>
  <c r="AC71" i="12"/>
  <c r="AB32" i="12"/>
  <c r="AC34" i="12"/>
  <c r="AC33" i="12"/>
  <c r="AJ32" i="12"/>
  <c r="AC75" i="8"/>
  <c r="AA74" i="1"/>
  <c r="AC32" i="7"/>
  <c r="AC74" i="12"/>
  <c r="AJ33" i="12"/>
  <c r="AJ71" i="12"/>
  <c r="AJ72" i="12"/>
  <c r="AC72" i="12"/>
  <c r="AE76" i="12"/>
  <c r="AC32" i="8"/>
  <c r="AC76" i="1"/>
  <c r="AA72" i="1"/>
  <c r="AC75" i="7"/>
  <c r="AJ34" i="12"/>
  <c r="AC75" i="1"/>
  <c r="AE32" i="12"/>
  <c r="AJ74" i="12"/>
  <c r="AC32" i="1"/>
  <c r="AC71" i="8"/>
  <c r="AB32" i="8"/>
  <c r="AC34" i="8"/>
  <c r="AC33" i="8"/>
  <c r="AJ32" i="8"/>
  <c r="AE75" i="12"/>
  <c r="AC71" i="7"/>
  <c r="AB32" i="7"/>
  <c r="AC34" i="7"/>
  <c r="AC33" i="7"/>
  <c r="AJ32" i="7"/>
  <c r="AC74" i="7"/>
  <c r="AJ33" i="7"/>
  <c r="AJ71" i="7"/>
  <c r="AJ72" i="7"/>
  <c r="AE76" i="7"/>
  <c r="AC72" i="7"/>
  <c r="AE71" i="12"/>
  <c r="AD32" i="12"/>
  <c r="AE34" i="12"/>
  <c r="AE33" i="12"/>
  <c r="AJ34" i="7"/>
  <c r="AC74" i="8"/>
  <c r="AJ33" i="8"/>
  <c r="AJ71" i="8"/>
  <c r="AJ72" i="8"/>
  <c r="AC72" i="8"/>
  <c r="AE76" i="8"/>
  <c r="AC71" i="1"/>
  <c r="AB32" i="1"/>
  <c r="AC34" i="1"/>
  <c r="AC33" i="1"/>
  <c r="AJ32" i="1"/>
  <c r="AJ34" i="8"/>
  <c r="AJ71" i="1"/>
  <c r="AJ72" i="1"/>
  <c r="AC72" i="1"/>
  <c r="AE76" i="1"/>
  <c r="AE32" i="8"/>
  <c r="AJ74" i="8"/>
  <c r="AE74" i="12"/>
  <c r="AE75" i="7"/>
  <c r="AJ74" i="7"/>
  <c r="AC74" i="1"/>
  <c r="AJ33" i="1"/>
  <c r="AJ34" i="1"/>
  <c r="AE75" i="8"/>
  <c r="AG76" i="12"/>
  <c r="AG32" i="12"/>
  <c r="AE72" i="12"/>
  <c r="AG75" i="12"/>
  <c r="AE32" i="7"/>
  <c r="AE71" i="7"/>
  <c r="AD32" i="7"/>
  <c r="AE34" i="7"/>
  <c r="AE33" i="7"/>
  <c r="AJ74" i="1"/>
  <c r="AE71" i="8"/>
  <c r="AD32" i="8"/>
  <c r="AE34" i="8"/>
  <c r="AE33" i="8"/>
  <c r="AE75" i="1"/>
  <c r="AG71" i="12"/>
  <c r="AF32" i="12"/>
  <c r="AH32" i="12"/>
  <c r="AG34" i="12"/>
  <c r="AG33" i="12"/>
  <c r="AI32" i="12"/>
  <c r="AK32" i="12"/>
  <c r="AE32" i="1"/>
  <c r="AE74" i="8"/>
  <c r="AG76" i="8"/>
  <c r="AG32" i="8"/>
  <c r="AE72" i="8"/>
  <c r="AG75" i="8"/>
  <c r="AE72" i="7"/>
  <c r="AG75" i="7"/>
  <c r="AG76" i="7"/>
  <c r="AG32" i="7"/>
  <c r="AE71" i="1"/>
  <c r="AD32" i="1"/>
  <c r="AE34" i="1"/>
  <c r="AE33" i="1"/>
  <c r="AG74" i="12"/>
  <c r="AK33" i="12"/>
  <c r="AI33" i="12"/>
  <c r="AK71" i="12"/>
  <c r="AK72" i="12"/>
  <c r="AI71" i="12"/>
  <c r="AI72" i="12"/>
  <c r="AE74" i="7"/>
  <c r="AK34" i="12"/>
  <c r="AG76" i="1"/>
  <c r="AG32" i="1"/>
  <c r="AE72" i="1"/>
  <c r="AG75" i="1"/>
  <c r="AG71" i="7"/>
  <c r="AF32" i="7"/>
  <c r="AH32" i="7"/>
  <c r="AG34" i="7"/>
  <c r="AG33" i="7"/>
  <c r="AK32" i="7"/>
  <c r="AI32" i="7"/>
  <c r="AK74" i="12"/>
  <c r="AI74" i="12"/>
  <c r="AE74" i="1"/>
  <c r="AG71" i="8"/>
  <c r="AF32" i="8"/>
  <c r="AH32" i="8"/>
  <c r="AG34" i="8"/>
  <c r="AG33" i="8"/>
  <c r="AK32" i="8"/>
  <c r="AI32" i="8"/>
  <c r="AG74" i="7"/>
  <c r="AK33" i="7"/>
  <c r="AI33" i="7"/>
  <c r="AK71" i="7"/>
  <c r="AK72" i="7"/>
  <c r="AI71" i="7"/>
  <c r="AI72" i="7"/>
  <c r="AG71" i="1"/>
  <c r="AF32" i="1"/>
  <c r="AH32" i="1"/>
  <c r="AG34" i="1"/>
  <c r="AG33" i="1"/>
  <c r="AK32" i="1"/>
  <c r="AI32" i="1"/>
  <c r="AG74" i="8"/>
  <c r="AK33" i="8"/>
  <c r="AK34" i="8"/>
  <c r="AI33" i="8"/>
  <c r="AK71" i="8"/>
  <c r="AK72" i="8"/>
  <c r="AI71" i="8"/>
  <c r="AI72" i="8"/>
  <c r="AK34" i="7"/>
  <c r="AI74" i="7"/>
  <c r="AK74" i="7"/>
  <c r="AK74" i="8"/>
  <c r="AI74" i="8"/>
  <c r="AG74" i="1"/>
  <c r="AK33" i="1"/>
  <c r="AK34" i="1"/>
  <c r="AI33" i="1"/>
  <c r="AI71" i="1"/>
  <c r="AI72" i="1"/>
  <c r="AK71" i="1"/>
  <c r="AK72" i="1"/>
  <c r="AK74" i="1"/>
  <c r="AI74" i="1"/>
  <c r="I117" i="7"/>
  <c r="I68" i="7"/>
</calcChain>
</file>

<file path=xl/comments1.xml><?xml version="1.0" encoding="utf-8"?>
<comments xmlns="http://schemas.openxmlformats.org/spreadsheetml/2006/main">
  <authors>
    <author>Mark Lawrence</author>
  </authors>
  <commentList>
    <comment ref="E32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<sst xmlns="http://schemas.openxmlformats.org/spreadsheetml/2006/main" count="785" uniqueCount="145">
  <si>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</si>
  <si>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</si>
  <si>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</si>
  <si>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</si>
  <si>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</si>
  <si>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</si>
  <si>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</si>
  <si>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</si>
  <si>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</si>
  <si>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</si>
  <si>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</si>
  <si>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</si>
  <si>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</si>
  <si>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</si>
  <si>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</si>
  <si>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</si>
  <si>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</si>
  <si>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</si>
  <si>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</si>
  <si>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</si>
  <si>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</si>
  <si>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</si>
  <si>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</si>
  <si>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</si>
  <si>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</si>
  <si>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</si>
  <si>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</si>
  <si>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</si>
  <si>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</si>
  <si>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</si>
  <si>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</si>
  <si>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</si>
  <si>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</si>
  <si>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</si>
  <si>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</si>
  <si>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</si>
  <si>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</si>
  <si>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</si>
  <si>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</si>
  <si>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</si>
  <si>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</si>
  <si>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</si>
  <si>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</si>
  <si>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</si>
  <si>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</si>
  <si>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</si>
  <si>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</si>
  <si>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</si>
  <si>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</si>
  <si>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</si>
  <si>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</si>
  <si>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</si>
  <si>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</si>
  <si>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</si>
  <si>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</si>
  <si>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</si>
  <si>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</si>
  <si>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</si>
  <si>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</si>
  <si>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</si>
  <si>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</si>
  <si>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</si>
  <si>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</si>
  <si>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</si>
  <si>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</si>
  <si>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</si>
  <si>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</si>
  <si>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</si>
  <si>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</si>
  <si>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</si>
  <si>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</si>
  <si>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</si>
  <si>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</si>
  <si>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</si>
  <si>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</si>
  <si>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</si>
  <si>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</si>
  <si>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</si>
  <si>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</si>
  <si>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</si>
  <si>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</si>
  <si>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</si>
  <si>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</si>
  <si>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</si>
  <si>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</si>
  <si>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</si>
  <si>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</si>
  <si>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</si>
  <si>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</si>
  <si>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</si>
  <si>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</si>
  <si>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</si>
  <si>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</si>
  <si>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</si>
  <si>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</si>
  <si>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</si>
  <si>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</si>
  <si>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</si>
  <si>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</si>
  <si>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</si>
  <si>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</si>
  <si>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</si>
  <si>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</si>
  <si>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</si>
  <si>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</si>
  <si>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</si>
  <si>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</si>
  <si>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</si>
  <si>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</si>
  <si>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</si>
  <si>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</si>
  <si>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</si>
  <si>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</si>
  <si>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</si>
  <si>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</si>
  <si>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</si>
  <si>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</si>
  <si>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</si>
  <si>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</si>
  <si>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</si>
  <si>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</si>
  <si>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</si>
  <si>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</si>
  <si>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</si>
  <si>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</si>
  <si>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</si>
  <si>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</si>
  <si>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</si>
  <si>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</si>
  <si>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</rPr>
      <t>J</t>
    </r>
    <r>
      <rPr>
        <sz val="10"/>
        <rFont val="Arial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</si>
  <si>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</si>
  <si>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</si>
  <si>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</si>
  <si>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</si>
  <si>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</si>
  <si>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</si>
  <si>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Food Poverty line</t>
  </si>
  <si>
    <t>Lower Bound Poverty line</t>
  </si>
  <si>
    <t>Upper Bound Poverty line</t>
  </si>
  <si>
    <t>Resilience line</t>
  </si>
  <si>
    <t>cost of FPL (100% staple &amp; non-staple)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</si>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</sst>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28" x14ac:knownFonts="1">
    <font>
      <sz val="12"/>
      <name val="Arial"/>
      <family val="2"/>
    </font>
    <font>
      <sz val="8"/>
      <name val="Arial"/>
    </font>
    <font>
      <i/>
      <sz val="12"/>
      <name val="Arial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sz val="9"/>
      <name val="Arial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</font>
    <font>
      <sz val="10"/>
      <color theme="3" tint="0.79998168889431442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4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</cellStyleXfs>
  <cellXfs count="255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17" xfId="0" applyFont="1" applyBorder="1" applyAlignment="1"/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2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2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3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19" fillId="0" borderId="0" xfId="0" applyFont="1" applyAlignment="1"/>
    <xf numFmtId="9" fontId="19" fillId="0" borderId="0" xfId="6" applyNumberFormat="1" applyFont="1" applyAlignment="1"/>
    <xf numFmtId="3" fontId="19" fillId="0" borderId="0" xfId="0" applyNumberFormat="1" applyFont="1" applyAlignment="1"/>
    <xf numFmtId="1" fontId="19" fillId="0" borderId="0" xfId="0" applyNumberFormat="1" applyFont="1" applyAlignment="1"/>
    <xf numFmtId="1" fontId="19" fillId="0" borderId="0" xfId="6" applyNumberFormat="1" applyFont="1" applyAlignment="1"/>
    <xf numFmtId="165" fontId="19" fillId="0" borderId="0" xfId="0" applyNumberFormat="1" applyFont="1" applyAlignment="1"/>
    <xf numFmtId="9" fontId="19" fillId="0" borderId="0" xfId="0" applyNumberFormat="1" applyFont="1" applyAlignment="1"/>
    <xf numFmtId="165" fontId="19" fillId="0" borderId="0" xfId="6" applyNumberFormat="1" applyFont="1" applyAlignment="1"/>
    <xf numFmtId="164" fontId="19" fillId="0" borderId="0" xfId="6" applyNumberFormat="1" applyFont="1" applyAlignment="1"/>
    <xf numFmtId="2" fontId="19" fillId="0" borderId="0" xfId="0" applyNumberFormat="1" applyFont="1" applyAlignment="1"/>
    <xf numFmtId="0" fontId="19" fillId="0" borderId="0" xfId="0" applyFont="1" applyAlignment="1">
      <alignment textRotation="90"/>
    </xf>
    <xf numFmtId="169" fontId="19" fillId="0" borderId="0" xfId="0" applyNumberFormat="1" applyFont="1" applyAlignment="1"/>
    <xf numFmtId="0" fontId="19" fillId="10" borderId="0" xfId="0" applyFont="1" applyFill="1" applyAlignment="1">
      <alignment horizontal="right"/>
    </xf>
    <xf numFmtId="165" fontId="20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19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174" fontId="8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6" fillId="0" borderId="4" xfId="0" applyNumberFormat="1" applyFont="1" applyFill="1" applyBorder="1" applyAlignment="1" applyProtection="1"/>
    <xf numFmtId="9" fontId="26" fillId="5" borderId="4" xfId="0" applyNumberFormat="1" applyFont="1" applyFill="1" applyBorder="1" applyAlignment="1" applyProtection="1"/>
    <xf numFmtId="2" fontId="27" fillId="0" borderId="2" xfId="0" applyNumberFormat="1" applyFont="1" applyFill="1" applyBorder="1" applyAlignment="1" applyProtection="1"/>
    <xf numFmtId="2" fontId="27" fillId="0" borderId="3" xfId="0" applyNumberFormat="1" applyFont="1" applyFill="1" applyBorder="1" applyAlignment="1" applyProtection="1"/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14" fillId="0" borderId="16" xfId="0" applyFont="1" applyBorder="1" applyAlignment="1">
      <alignment horizontal="left"/>
    </xf>
  </cellXfs>
  <cellStyles count="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6" builtinId="5"/>
    <cellStyle name="Total" xfId="7" builtinId="25" customBuiltin="1"/>
  </cellStyles>
  <dxfs count="35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23F95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0.0160914428037716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0.0107276285358477</c:v>
                </c:pt>
                <c:pt idx="1">
                  <c:v>0.0107276285358477</c:v>
                </c:pt>
                <c:pt idx="2" formatCode="0.0%">
                  <c:v>0.0107276285358477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0.28051969667319</c:v>
                </c:pt>
                <c:pt idx="1">
                  <c:v>0.28051969667319</c:v>
                </c:pt>
                <c:pt idx="2" formatCode="0.0%">
                  <c:v>0.334595782778865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0.0506960505248176</c:v>
                </c:pt>
                <c:pt idx="1">
                  <c:v>0.0506960505248176</c:v>
                </c:pt>
                <c:pt idx="2" formatCode="0.0%">
                  <c:v>0.10477183775129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0.00253248888098203</c:v>
                </c:pt>
                <c:pt idx="1">
                  <c:v>0.00253248888098203</c:v>
                </c:pt>
                <c:pt idx="2" formatCode="0.0%">
                  <c:v>0.00253248888098203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0.0082063812488881</c:v>
                </c:pt>
                <c:pt idx="1">
                  <c:v>0.0082063812488881</c:v>
                </c:pt>
                <c:pt idx="2" formatCode="0.0%">
                  <c:v>0.0082063812488881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0.0233365949119374</c:v>
                </c:pt>
                <c:pt idx="1">
                  <c:v>0.0233365949119374</c:v>
                </c:pt>
                <c:pt idx="2" formatCode="0.0%">
                  <c:v>0.076374310620886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0.0257516456146593</c:v>
                </c:pt>
                <c:pt idx="1">
                  <c:v>0.0257516456146593</c:v>
                </c:pt>
                <c:pt idx="2" formatCode="0.0%">
                  <c:v>0.0643791140366483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0.0268190713396193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0.0912533953033268</c:v>
                </c:pt>
                <c:pt idx="1">
                  <c:v>0.0793904539138943</c:v>
                </c:pt>
                <c:pt idx="2" formatCode="0.0%">
                  <c:v>0.0793904539138943</c:v>
                </c:pt>
              </c:numCache>
            </c:numRef>
          </c:val>
        </c:ser>
        <c:ser>
          <c:idx val="15"/>
          <c:order val="14"/>
          <c:tx>
            <c:strRef>
              <c:f>Poor!$A$30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Poor!$K$31:$M$31</c:f>
              <c:numCache>
                <c:formatCode>0%</c:formatCode>
                <c:ptCount val="3"/>
                <c:pt idx="0">
                  <c:v>0.12499104585483</c:v>
                </c:pt>
                <c:pt idx="1">
                  <c:v>0.126240956313378</c:v>
                </c:pt>
                <c:pt idx="2" formatCode="0.0%">
                  <c:v>0.383427661006257</c:v>
                </c:pt>
              </c:numCache>
            </c:numRef>
          </c:val>
        </c:ser>
        <c:ser>
          <c:idx val="8"/>
          <c:order val="16"/>
          <c:tx>
            <c:strRef>
              <c:f>Poor!$A$32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Poor!$K$32:$M$32</c:f>
              <c:numCache>
                <c:formatCode>0%</c:formatCode>
                <c:ptCount val="3"/>
                <c:pt idx="0">
                  <c:v>0.647125394057997</c:v>
                </c:pt>
                <c:pt idx="1">
                  <c:v>0.603109531939887</c:v>
                </c:pt>
                <c:pt idx="2" formatCode="0.0%">
                  <c:v>0.185160144064016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8740184"/>
        <c:axId val="-1998647288"/>
      </c:barChart>
      <c:catAx>
        <c:axId val="188874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4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4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74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Middle!$A$39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0.0291265349352927</c:v>
                </c:pt>
                <c:pt idx="1">
                  <c:v>0.0300003309833515</c:v>
                </c:pt>
                <c:pt idx="2">
                  <c:v>0.0300003309833515</c:v>
                </c:pt>
              </c:numCache>
            </c:numRef>
          </c:val>
        </c:ser>
        <c:ser>
          <c:idx val="1"/>
          <c:order val="1"/>
          <c:tx>
            <c:strRef>
              <c:f>Middle!$A$40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0.0520116695273085</c:v>
                </c:pt>
                <c:pt idx="1">
                  <c:v>0.0577329531753124</c:v>
                </c:pt>
                <c:pt idx="2">
                  <c:v>0.0560537317239</c:v>
                </c:pt>
              </c:numCache>
            </c:numRef>
          </c:val>
        </c:ser>
        <c:ser>
          <c:idx val="2"/>
          <c:order val="2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0.0104023339054617</c:v>
                </c:pt>
                <c:pt idx="1">
                  <c:v>0.0113385439569532</c:v>
                </c:pt>
                <c:pt idx="2">
                  <c:v>0.0115034404778577</c:v>
                </c:pt>
              </c:numCache>
            </c:numRef>
          </c:val>
        </c:ser>
        <c:ser>
          <c:idx val="3"/>
          <c:order val="3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0.00936210051491552</c:v>
                </c:pt>
                <c:pt idx="1">
                  <c:v>0.00954934252521384</c:v>
                </c:pt>
                <c:pt idx="2">
                  <c:v>0.0101048471350865</c:v>
                </c:pt>
              </c:numCache>
            </c:numRef>
          </c:val>
        </c:ser>
        <c:ser>
          <c:idx val="4"/>
          <c:order val="4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0.00312070017163851</c:v>
                </c:pt>
                <c:pt idx="1">
                  <c:v>0.00318311417507128</c:v>
                </c:pt>
                <c:pt idx="2">
                  <c:v>0.00336828237836216</c:v>
                </c:pt>
              </c:numCache>
            </c:numRef>
          </c:val>
        </c:ser>
        <c:ser>
          <c:idx val="5"/>
          <c:order val="5"/>
          <c:tx>
            <c:strRef>
              <c:f>Middle!$A$44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0.00312070017163851</c:v>
                </c:pt>
                <c:pt idx="1">
                  <c:v>0.00352639119395151</c:v>
                </c:pt>
                <c:pt idx="2">
                  <c:v>0.00373152851720514</c:v>
                </c:pt>
              </c:numCache>
            </c:numRef>
          </c:val>
        </c:ser>
        <c:ser>
          <c:idx val="6"/>
          <c:order val="6"/>
          <c:tx>
            <c:strRef>
              <c:f>Middle!$A$45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0.0208046678109234</c:v>
                </c:pt>
                <c:pt idx="1">
                  <c:v>0.0208046678109234</c:v>
                </c:pt>
                <c:pt idx="2">
                  <c:v>0.022014917505635</c:v>
                </c:pt>
              </c:numCache>
            </c:numRef>
          </c:val>
        </c:ser>
        <c:ser>
          <c:idx val="7"/>
          <c:order val="7"/>
          <c:tx>
            <c:strRef>
              <c:f>Middle!$A$46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0.00936210051491552</c:v>
                </c:pt>
                <c:pt idx="1">
                  <c:v>0.00936210051491552</c:v>
                </c:pt>
                <c:pt idx="2">
                  <c:v>0.00990671287753577</c:v>
                </c:pt>
              </c:numCache>
            </c:numRef>
          </c:val>
        </c:ser>
        <c:ser>
          <c:idx val="8"/>
          <c:order val="8"/>
          <c:tx>
            <c:strRef>
              <c:f>Middle!$A$47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0.0018204084334558</c:v>
                </c:pt>
                <c:pt idx="1">
                  <c:v>0.0019478370237977</c:v>
                </c:pt>
                <c:pt idx="2">
                  <c:v>0.00206114665146508</c:v>
                </c:pt>
              </c:numCache>
            </c:numRef>
          </c:val>
        </c:ser>
        <c:ser>
          <c:idx val="9"/>
          <c:order val="9"/>
          <c:tx>
            <c:strRef>
              <c:f>Middle!$A$48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0.00832186712436935</c:v>
                </c:pt>
                <c:pt idx="1">
                  <c:v>0.0089876164943189</c:v>
                </c:pt>
                <c:pt idx="2">
                  <c:v>0.0089876164943189</c:v>
                </c:pt>
              </c:numCache>
            </c:numRef>
          </c:val>
        </c:ser>
        <c:ser>
          <c:idx val="10"/>
          <c:order val="10"/>
          <c:tx>
            <c:strRef>
              <c:f>Middle!$A$49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Middle!$A$51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Middle!$A$52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Middle!$A$53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Middle!$A$54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0.436898024029391</c:v>
                </c:pt>
                <c:pt idx="1">
                  <c:v>0.467480885711449</c:v>
                </c:pt>
                <c:pt idx="2">
                  <c:v>0.467480885711449</c:v>
                </c:pt>
              </c:numCache>
            </c:numRef>
          </c:val>
        </c:ser>
        <c:ser>
          <c:idx val="16"/>
          <c:order val="16"/>
          <c:tx>
            <c:strRef>
              <c:f>Middle!$A$55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0.249656013731081</c:v>
                </c:pt>
                <c:pt idx="1">
                  <c:v>0.267131934692256</c:v>
                </c:pt>
                <c:pt idx="2">
                  <c:v>0.267131934692256</c:v>
                </c:pt>
              </c:numCache>
            </c:numRef>
          </c:val>
        </c:ser>
        <c:ser>
          <c:idx val="17"/>
          <c:order val="17"/>
          <c:tx>
            <c:strRef>
              <c:f>Middle!$A$56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0.071151963913358</c:v>
                </c:pt>
                <c:pt idx="1">
                  <c:v>0.0782671603046938</c:v>
                </c:pt>
                <c:pt idx="2">
                  <c:v>0.0773565684343928</c:v>
                </c:pt>
              </c:numCache>
            </c:numRef>
          </c:val>
        </c:ser>
        <c:ser>
          <c:idx val="18"/>
          <c:order val="18"/>
          <c:tx>
            <c:strRef>
              <c:f>Middle!$A$57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Middle!$A$58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0.0823581145296963</c:v>
                </c:pt>
                <c:pt idx="1">
                  <c:v>0.0914175071279629</c:v>
                </c:pt>
                <c:pt idx="2">
                  <c:v>0.0914175071279629</c:v>
                </c:pt>
              </c:numCache>
            </c:numRef>
          </c:val>
        </c:ser>
        <c:ser>
          <c:idx val="20"/>
          <c:order val="20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0.012482800686554</c:v>
                </c:pt>
                <c:pt idx="1">
                  <c:v>0.0131069407208817</c:v>
                </c:pt>
                <c:pt idx="2">
                  <c:v>0.0131069407208817</c:v>
                </c:pt>
              </c:numCache>
            </c:numRef>
          </c:val>
        </c:ser>
        <c:ser>
          <c:idx val="21"/>
          <c:order val="21"/>
          <c:tx>
            <c:strRef>
              <c:f>Middle!$A$60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Middle!$A$61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665784"/>
        <c:axId val="-2077138872"/>
      </c:barChart>
      <c:catAx>
        <c:axId val="-208766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13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13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66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46587537092"/>
          <c:y val="0.706748287561616"/>
          <c:w val="0.718101123858034"/>
          <c:h val="0.28658552589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Rich!$A$39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0.0141071225265097</c:v>
                </c:pt>
                <c:pt idx="1">
                  <c:v>0.014530336202305</c:v>
                </c:pt>
                <c:pt idx="2">
                  <c:v>0.014530336202305</c:v>
                </c:pt>
              </c:numCache>
            </c:numRef>
          </c:val>
        </c:ser>
        <c:ser>
          <c:idx val="1"/>
          <c:order val="1"/>
          <c:tx>
            <c:strRef>
              <c:f>Rich!$A$40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0.0518220827504439</c:v>
                </c:pt>
                <c:pt idx="1">
                  <c:v>0.0575225118529928</c:v>
                </c:pt>
                <c:pt idx="2">
                  <c:v>0.0575225118529928</c:v>
                </c:pt>
              </c:numCache>
            </c:numRef>
          </c:val>
        </c:ser>
        <c:ser>
          <c:idx val="2"/>
          <c:order val="2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0.00647776034380549</c:v>
                </c:pt>
                <c:pt idx="1">
                  <c:v>0.00706075877474799</c:v>
                </c:pt>
                <c:pt idx="2">
                  <c:v>0.00706101797769169</c:v>
                </c:pt>
              </c:numCache>
            </c:numRef>
          </c:val>
        </c:ser>
        <c:ser>
          <c:idx val="3"/>
          <c:order val="3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0.00863701379174066</c:v>
                </c:pt>
                <c:pt idx="1">
                  <c:v>0.00880975406757547</c:v>
                </c:pt>
                <c:pt idx="2">
                  <c:v>0.00881072429510785</c:v>
                </c:pt>
              </c:numCache>
            </c:numRef>
          </c:val>
        </c:ser>
        <c:ser>
          <c:idx val="4"/>
          <c:order val="4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0.000863701379174066</c:v>
                </c:pt>
                <c:pt idx="1">
                  <c:v>0.000880975406757547</c:v>
                </c:pt>
                <c:pt idx="2">
                  <c:v>0.000881072429510785</c:v>
                </c:pt>
              </c:numCache>
            </c:numRef>
          </c:val>
        </c:ser>
        <c:ser>
          <c:idx val="5"/>
          <c:order val="5"/>
          <c:tx>
            <c:strRef>
              <c:f>Rich!$A$44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0.00690961103339253</c:v>
                </c:pt>
                <c:pt idx="1">
                  <c:v>0.00780786046773355</c:v>
                </c:pt>
                <c:pt idx="2">
                  <c:v>0.00780872035566421</c:v>
                </c:pt>
              </c:numCache>
            </c:numRef>
          </c:val>
        </c:ser>
        <c:ser>
          <c:idx val="6"/>
          <c:order val="6"/>
          <c:tx>
            <c:strRef>
              <c:f>Rich!$A$45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0.0115160183889875</c:v>
                </c:pt>
                <c:pt idx="1">
                  <c:v>0.0115160183889875</c:v>
                </c:pt>
                <c:pt idx="2">
                  <c:v>0.0115172866602717</c:v>
                </c:pt>
              </c:numCache>
            </c:numRef>
          </c:val>
        </c:ser>
        <c:ser>
          <c:idx val="7"/>
          <c:order val="7"/>
          <c:tx>
            <c:strRef>
              <c:f>Rich!$A$46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0.00345480551669626</c:v>
                </c:pt>
                <c:pt idx="1">
                  <c:v>0.00345480551669626</c:v>
                </c:pt>
                <c:pt idx="2">
                  <c:v>0.00345518599808151</c:v>
                </c:pt>
              </c:numCache>
            </c:numRef>
          </c:val>
        </c:ser>
        <c:ser>
          <c:idx val="8"/>
          <c:order val="8"/>
          <c:tx>
            <c:strRef>
              <c:f>Rich!$A$47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0.000503825804518205</c:v>
                </c:pt>
                <c:pt idx="1">
                  <c:v>0.000539093610834479</c:v>
                </c:pt>
                <c:pt idx="2">
                  <c:v>0.000539152981783969</c:v>
                </c:pt>
              </c:numCache>
            </c:numRef>
          </c:val>
        </c:ser>
        <c:ser>
          <c:idx val="9"/>
          <c:order val="9"/>
          <c:tx>
            <c:strRef>
              <c:f>Rich!$A$48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0.00230320367779751</c:v>
                </c:pt>
                <c:pt idx="1">
                  <c:v>0.00248745997202131</c:v>
                </c:pt>
                <c:pt idx="2">
                  <c:v>0.00248745997202131</c:v>
                </c:pt>
              </c:numCache>
            </c:numRef>
          </c:val>
        </c:ser>
        <c:ser>
          <c:idx val="10"/>
          <c:order val="10"/>
          <c:tx>
            <c:strRef>
              <c:f>Rich!$A$49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Rich!$A$51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Rich!$A$52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Rich!$A$53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Rich!$A$54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Rich!$A$55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0.414576662003552</c:v>
                </c:pt>
                <c:pt idx="1">
                  <c:v>0.4435970283438</c:v>
                </c:pt>
                <c:pt idx="2">
                  <c:v>0.4435970283438</c:v>
                </c:pt>
              </c:numCache>
            </c:numRef>
          </c:val>
        </c:ser>
        <c:ser>
          <c:idx val="17"/>
          <c:order val="17"/>
          <c:tx>
            <c:strRef>
              <c:f>Rich!$A$56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0.414576662003552</c:v>
                </c:pt>
                <c:pt idx="1">
                  <c:v>0.435305495103729</c:v>
                </c:pt>
                <c:pt idx="2">
                  <c:v>0.435305495103729</c:v>
                </c:pt>
              </c:numCache>
            </c:numRef>
          </c:val>
        </c:ser>
        <c:ser>
          <c:idx val="19"/>
          <c:order val="19"/>
          <c:tx>
            <c:strRef>
              <c:f>Rich!$A$58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0.0227938645794756</c:v>
                </c:pt>
                <c:pt idx="1">
                  <c:v>0.0253011896832179</c:v>
                </c:pt>
                <c:pt idx="2">
                  <c:v>0.0253011896832179</c:v>
                </c:pt>
              </c:numCache>
            </c:numRef>
          </c:val>
        </c:ser>
        <c:ser>
          <c:idx val="20"/>
          <c:order val="20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0.0414576662003552</c:v>
                </c:pt>
                <c:pt idx="1">
                  <c:v>0.0435305495103729</c:v>
                </c:pt>
                <c:pt idx="2">
                  <c:v>0.0435305495103729</c:v>
                </c:pt>
              </c:numCache>
            </c:numRef>
          </c:val>
        </c:ser>
        <c:ser>
          <c:idx val="21"/>
          <c:order val="21"/>
          <c:tx>
            <c:strRef>
              <c:f>Rich!$A$60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Rich!$A$61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866024"/>
        <c:axId val="-2087103704"/>
      </c:barChart>
      <c:catAx>
        <c:axId val="-207686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10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10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86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V.Poor!$A$39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V.Poor!$A$40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V.Poor!$A$44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0.0275111420125151</c:v>
                </c:pt>
                <c:pt idx="1">
                  <c:v>0.0275111420125151</c:v>
                </c:pt>
                <c:pt idx="2">
                  <c:v>0.0278102155545425</c:v>
                </c:pt>
              </c:numCache>
            </c:numRef>
          </c:val>
        </c:ser>
        <c:ser>
          <c:idx val="7"/>
          <c:order val="7"/>
          <c:tx>
            <c:strRef>
              <c:f>V.Poor!$A$46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0.00379653759772708</c:v>
                </c:pt>
                <c:pt idx="1">
                  <c:v>0.00379653759772708</c:v>
                </c:pt>
                <c:pt idx="2">
                  <c:v>0.00383780974652686</c:v>
                </c:pt>
              </c:numCache>
            </c:numRef>
          </c:val>
        </c:ser>
        <c:ser>
          <c:idx val="8"/>
          <c:order val="8"/>
          <c:tx>
            <c:strRef>
              <c:f>V.Poor!$A$47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V.Poor!$A$48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0.0368649302967702</c:v>
                </c:pt>
                <c:pt idx="1">
                  <c:v>0.0294919442374162</c:v>
                </c:pt>
                <c:pt idx="2">
                  <c:v>0.0296331069492531</c:v>
                </c:pt>
              </c:numCache>
            </c:numRef>
          </c:val>
        </c:ser>
        <c:ser>
          <c:idx val="12"/>
          <c:order val="12"/>
          <c:tx>
            <c:strRef>
              <c:f>V.Poor!$A$51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0.0247600278112636</c:v>
                </c:pt>
                <c:pt idx="1">
                  <c:v>0.0239107588573372</c:v>
                </c:pt>
                <c:pt idx="2">
                  <c:v>0.0239107588573372</c:v>
                </c:pt>
              </c:numCache>
            </c:numRef>
          </c:val>
        </c:ser>
        <c:ser>
          <c:idx val="13"/>
          <c:order val="13"/>
          <c:tx>
            <c:strRef>
              <c:f>V.Poor!$A$52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0.0396160444980217</c:v>
                </c:pt>
                <c:pt idx="1">
                  <c:v>0.0435776489478239</c:v>
                </c:pt>
                <c:pt idx="2">
                  <c:v>0.0435776489478239</c:v>
                </c:pt>
              </c:numCache>
            </c:numRef>
          </c:val>
        </c:ser>
        <c:ser>
          <c:idx val="14"/>
          <c:order val="14"/>
          <c:tx>
            <c:strRef>
              <c:f>V.Poor!$A$53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0.132053481660072</c:v>
                </c:pt>
                <c:pt idx="1">
                  <c:v>0.14525882982608</c:v>
                </c:pt>
                <c:pt idx="2">
                  <c:v>0.14525882982608</c:v>
                </c:pt>
              </c:numCache>
            </c:numRef>
          </c:val>
        </c:ser>
        <c:ser>
          <c:idx val="15"/>
          <c:order val="15"/>
          <c:tx>
            <c:strRef>
              <c:f>V.Poor!$A$54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V.Poor!$A$55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0.144433495565704</c:v>
                </c:pt>
                <c:pt idx="1">
                  <c:v>0.158876845122275</c:v>
                </c:pt>
                <c:pt idx="2">
                  <c:v>0.158531415181233</c:v>
                </c:pt>
              </c:numCache>
            </c:numRef>
          </c:val>
        </c:ser>
        <c:ser>
          <c:idx val="18"/>
          <c:order val="18"/>
          <c:tx>
            <c:strRef>
              <c:f>V.Poor!$A$57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V.Poor!$A$58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0.590964340557926</c:v>
                </c:pt>
                <c:pt idx="1">
                  <c:v>0.655970418019298</c:v>
                </c:pt>
                <c:pt idx="2">
                  <c:v>0.655970418019298</c:v>
                </c:pt>
              </c:numCache>
            </c:numRef>
          </c:val>
        </c:ser>
        <c:ser>
          <c:idx val="20"/>
          <c:order val="20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V.Poor!$A$60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V.Poor!$A$61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261640"/>
        <c:axId val="-2087225880"/>
      </c:barChart>
      <c:catAx>
        <c:axId val="-208726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22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22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26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ZALOI Unaffected Area</a:t>
            </a:r>
          </a:p>
        </c:rich>
      </c:tx>
      <c:layout>
        <c:manualLayout>
          <c:xMode val="edge"/>
          <c:yMode val="edge"/>
          <c:x val="0.405008635578584"/>
          <c:y val="0.021680216802168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5695429150194"/>
          <c:y val="0.0355557305336833"/>
          <c:w val="0.849529774929147"/>
          <c:h val="0.675052002189566"/>
        </c:manualLayout>
      </c:layout>
      <c:barChart>
        <c:barDir val="col"/>
        <c:grouping val="stacked"/>
        <c:varyColors val="0"/>
        <c:ser>
          <c:idx val="1"/>
          <c:order val="4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1337.545101512585</c:v>
                </c:pt>
                <c:pt idx="1">
                  <c:v>3118.061854820051</c:v>
                </c:pt>
                <c:pt idx="2">
                  <c:v>3694.603097026329</c:v>
                </c:pt>
                <c:pt idx="3">
                  <c:v>2463.542925912378</c:v>
                </c:pt>
                <c:pt idx="4">
                  <c:v>1333.817752287955</c:v>
                </c:pt>
                <c:pt idx="5">
                  <c:v>4466.842085030546</c:v>
                </c:pt>
                <c:pt idx="6">
                  <c:v>3546.502343260563</c:v>
                </c:pt>
                <c:pt idx="7">
                  <c:v>2462.677800239009</c:v>
                </c:pt>
              </c:numCache>
            </c:numRef>
          </c:val>
        </c:ser>
        <c:ser>
          <c:idx val="2"/>
          <c:order val="5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1115.24</c:v>
                </c:pt>
                <c:pt idx="1">
                  <c:v>2996.0</c:v>
                </c:pt>
                <c:pt idx="2">
                  <c:v>6020.0</c:v>
                </c:pt>
                <c:pt idx="3">
                  <c:v>15516.66666666667</c:v>
                </c:pt>
                <c:pt idx="4">
                  <c:v>1006.574795253441</c:v>
                </c:pt>
                <c:pt idx="5">
                  <c:v>0.0</c:v>
                </c:pt>
                <c:pt idx="6">
                  <c:v>5784.764467905993</c:v>
                </c:pt>
                <c:pt idx="7">
                  <c:v>14385.59812679242</c:v>
                </c:pt>
              </c:numCache>
            </c:numRef>
          </c:val>
        </c:ser>
        <c:ser>
          <c:idx val="5"/>
          <c:order val="7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178.2397400512107</c:v>
                </c:pt>
                <c:pt idx="2">
                  <c:v>401.34135855546</c:v>
                </c:pt>
                <c:pt idx="3">
                  <c:v>1691.656770616976</c:v>
                </c:pt>
                <c:pt idx="4">
                  <c:v>0.0</c:v>
                </c:pt>
                <c:pt idx="5">
                  <c:v>178.2397400512107</c:v>
                </c:pt>
                <c:pt idx="6">
                  <c:v>401.34135855546</c:v>
                </c:pt>
                <c:pt idx="7">
                  <c:v>1691.656770616976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2240.0</c:v>
                </c:pt>
                <c:pt idx="2">
                  <c:v>9856.0</c:v>
                </c:pt>
                <c:pt idx="3">
                  <c:v>32862.66666666666</c:v>
                </c:pt>
                <c:pt idx="4">
                  <c:v>0.0</c:v>
                </c:pt>
                <c:pt idx="5">
                  <c:v>2060.0</c:v>
                </c:pt>
                <c:pt idx="6">
                  <c:v>9378.4245027827</c:v>
                </c:pt>
                <c:pt idx="7">
                  <c:v>32059.52170416283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1390.24619675518</c:v>
                </c:pt>
                <c:pt idx="1">
                  <c:v>2609.600000000001</c:v>
                </c:pt>
                <c:pt idx="2">
                  <c:v>0.0</c:v>
                </c:pt>
                <c:pt idx="3">
                  <c:v>0.0</c:v>
                </c:pt>
                <c:pt idx="4">
                  <c:v>1003.062764968605</c:v>
                </c:pt>
                <c:pt idx="5">
                  <c:v>865.8402862561475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8019.21546961326</c:v>
                </c:pt>
                <c:pt idx="1">
                  <c:v>16381.67071823205</c:v>
                </c:pt>
                <c:pt idx="2">
                  <c:v>898.475138121547</c:v>
                </c:pt>
                <c:pt idx="3">
                  <c:v>0.0</c:v>
                </c:pt>
                <c:pt idx="4">
                  <c:v>7655.642208563536</c:v>
                </c:pt>
                <c:pt idx="5">
                  <c:v>15741.11402486188</c:v>
                </c:pt>
                <c:pt idx="6">
                  <c:v>781.6733701657458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16800.0</c:v>
                </c:pt>
                <c:pt idx="2">
                  <c:v>73920.0</c:v>
                </c:pt>
                <c:pt idx="3">
                  <c:v>188160.0</c:v>
                </c:pt>
                <c:pt idx="4">
                  <c:v>0.0</c:v>
                </c:pt>
                <c:pt idx="5">
                  <c:v>16050.0</c:v>
                </c:pt>
                <c:pt idx="6">
                  <c:v>70620.0</c:v>
                </c:pt>
                <c:pt idx="7">
                  <c:v>179760.0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5145.000000000001</c:v>
                </c:pt>
                <c:pt idx="1">
                  <c:v>7190.400000000001</c:v>
                </c:pt>
                <c:pt idx="2">
                  <c:v>7660.800000000001</c:v>
                </c:pt>
                <c:pt idx="3">
                  <c:v>0.0</c:v>
                </c:pt>
                <c:pt idx="4">
                  <c:v>5042.138498666324</c:v>
                </c:pt>
                <c:pt idx="5">
                  <c:v>8474.400000000003</c:v>
                </c:pt>
                <c:pt idx="6">
                  <c:v>7436.462733980983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1075.2</c:v>
                </c:pt>
                <c:pt idx="2">
                  <c:v>0.0</c:v>
                </c:pt>
                <c:pt idx="3">
                  <c:v>188160.0</c:v>
                </c:pt>
                <c:pt idx="4">
                  <c:v>0.0</c:v>
                </c:pt>
                <c:pt idx="5">
                  <c:v>1008.0</c:v>
                </c:pt>
                <c:pt idx="6">
                  <c:v>0.0</c:v>
                </c:pt>
                <c:pt idx="7">
                  <c:v>176400.0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85.76353591160221</c:v>
                </c:pt>
                <c:pt idx="1">
                  <c:v>565.136662959497</c:v>
                </c:pt>
                <c:pt idx="2">
                  <c:v>0.0</c:v>
                </c:pt>
                <c:pt idx="3">
                  <c:v>0.0</c:v>
                </c:pt>
                <c:pt idx="4">
                  <c:v>86.69587105240487</c:v>
                </c:pt>
                <c:pt idx="5">
                  <c:v>565.136662959497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39.1994413381282</c:v>
                </c:pt>
                <c:pt idx="1">
                  <c:v>53.75923383514724</c:v>
                </c:pt>
                <c:pt idx="2">
                  <c:v>71.67897844686301</c:v>
                </c:pt>
                <c:pt idx="3">
                  <c:v>0.0</c:v>
                </c:pt>
                <c:pt idx="4">
                  <c:v>39.1994413381282</c:v>
                </c:pt>
                <c:pt idx="5">
                  <c:v>53.75923383514724</c:v>
                </c:pt>
                <c:pt idx="6">
                  <c:v>71.67897844686301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21051.29090909091</c:v>
                </c:pt>
                <c:pt idx="1">
                  <c:v>22327.70909090909</c:v>
                </c:pt>
                <c:pt idx="2">
                  <c:v>8867.345454545457</c:v>
                </c:pt>
                <c:pt idx="3">
                  <c:v>10345.23636363637</c:v>
                </c:pt>
                <c:pt idx="4">
                  <c:v>20863.33295454546</c:v>
                </c:pt>
                <c:pt idx="5">
                  <c:v>22128.35454545455</c:v>
                </c:pt>
                <c:pt idx="6">
                  <c:v>8788.17272727273</c:v>
                </c:pt>
                <c:pt idx="7">
                  <c:v>10252.86818181819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5376.0</c:v>
                </c:pt>
                <c:pt idx="2">
                  <c:v>1344.0</c:v>
                </c:pt>
                <c:pt idx="3">
                  <c:v>18816.0</c:v>
                </c:pt>
                <c:pt idx="4">
                  <c:v>0.0</c:v>
                </c:pt>
                <c:pt idx="5">
                  <c:v>5040.0</c:v>
                </c:pt>
                <c:pt idx="6">
                  <c:v>1260.0</c:v>
                </c:pt>
                <c:pt idx="7">
                  <c:v>17640.0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939736"/>
        <c:axId val="18877734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29946.91949437329</c:v>
                </c:pt>
                <c:pt idx="1">
                  <c:v>29946.91949437329</c:v>
                </c:pt>
                <c:pt idx="2">
                  <c:v>29946.91949437329</c:v>
                </c:pt>
                <c:pt idx="3">
                  <c:v>29946.91949437329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29946.91949437329</c:v>
                </c:pt>
                <c:pt idx="5" formatCode="#,##0">
                  <c:v>29946.91949437329</c:v>
                </c:pt>
                <c:pt idx="6" formatCode="#,##0">
                  <c:v>29946.91949437329</c:v>
                </c:pt>
                <c:pt idx="7" formatCode="#,##0">
                  <c:v>29946.91949437329</c:v>
                </c:pt>
              </c:numCache>
            </c:numRef>
          </c:val>
          <c:smooth val="0"/>
        </c:ser>
        <c:ser>
          <c:idx val="20"/>
          <c:order val="2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46631.6994943733</c:v>
                </c:pt>
                <c:pt idx="5" formatCode="#,##0">
                  <c:v>46631.69949437329</c:v>
                </c:pt>
                <c:pt idx="6" formatCode="#,##0">
                  <c:v>46631.69949437329</c:v>
                </c:pt>
                <c:pt idx="7" formatCode="#,##0">
                  <c:v>46631.69949437329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Income!$B$90:$E$90</c:f>
              <c:numCache>
                <c:formatCode>#,##0</c:formatCode>
                <c:ptCount val="4"/>
                <c:pt idx="0">
                  <c:v>47026.26053826613</c:v>
                </c:pt>
                <c:pt idx="1">
                  <c:v>47026.26053826612</c:v>
                </c:pt>
                <c:pt idx="2">
                  <c:v>47026.26053826612</c:v>
                </c:pt>
                <c:pt idx="3">
                  <c:v>47026.26053826612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val>
            <c:numRef>
              <c:f>Income!$B$95:$I$95</c:f>
              <c:numCache>
                <c:formatCode>General</c:formatCode>
                <c:ptCount val="8"/>
                <c:pt idx="4" formatCode="#,##0">
                  <c:v>73578.0594943733</c:v>
                </c:pt>
                <c:pt idx="5" formatCode="#,##0">
                  <c:v>73578.0594943733</c:v>
                </c:pt>
                <c:pt idx="6" formatCode="#,##0">
                  <c:v>73578.0594943733</c:v>
                </c:pt>
                <c:pt idx="7" formatCode="#,##0">
                  <c:v>73578.05949437328</c:v>
                </c:pt>
              </c:numCache>
            </c:numRef>
          </c:val>
          <c:smooth val="0"/>
        </c:ser>
        <c:ser>
          <c:idx val="19"/>
          <c:order val="8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val>
            <c:numRef>
              <c:f>Income!$B$91:$E$91</c:f>
              <c:numCache>
                <c:formatCode>#,##0</c:formatCode>
                <c:ptCount val="4"/>
                <c:pt idx="0">
                  <c:v>74609.84703635074</c:v>
                </c:pt>
                <c:pt idx="1">
                  <c:v>74609.84703635071</c:v>
                </c:pt>
                <c:pt idx="2">
                  <c:v>74609.84703635071</c:v>
                </c:pt>
                <c:pt idx="3">
                  <c:v>74609.84703635072</c:v>
                </c:pt>
              </c:numCache>
            </c:numRef>
          </c:val>
          <c:smooth val="0"/>
        </c:ser>
        <c:ser>
          <c:idx val="14"/>
          <c:order val="20"/>
          <c:tx>
            <c:strRef>
              <c:f>Income!$A$92</c:f>
              <c:strCache>
                <c:ptCount val="1"/>
                <c:pt idx="0">
                  <c:v>Resilience line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Income!$B$92:$E$92</c:f>
              <c:numCache>
                <c:formatCode>#,##0</c:formatCode>
                <c:ptCount val="4"/>
                <c:pt idx="0">
                  <c:v>75892.38836357567</c:v>
                </c:pt>
                <c:pt idx="1">
                  <c:v>78183.3508893939</c:v>
                </c:pt>
                <c:pt idx="2">
                  <c:v>120366.6038446332</c:v>
                </c:pt>
                <c:pt idx="3">
                  <c:v>177677.1216531364</c:v>
                </c:pt>
              </c:numCache>
            </c:numRef>
          </c:val>
          <c:smooth val="0"/>
        </c:ser>
        <c:ser>
          <c:idx val="16"/>
          <c:order val="21"/>
          <c:tx>
            <c:strRef>
              <c:f>Income!$A$96</c:f>
              <c:strCache>
                <c:ptCount val="1"/>
                <c:pt idx="0">
                  <c:v>Resilience line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Income!$B$96:$I$96</c:f>
              <c:numCache>
                <c:formatCode>General</c:formatCode>
                <c:ptCount val="8"/>
                <c:pt idx="4" formatCode="#,##0">
                  <c:v>74830.9719943733</c:v>
                </c:pt>
                <c:pt idx="5" formatCode="#,##0">
                  <c:v>77069.0094943733</c:v>
                </c:pt>
                <c:pt idx="6" formatCode="#,##0">
                  <c:v>118277.7594943733</c:v>
                </c:pt>
                <c:pt idx="7" formatCode="#,##0">
                  <c:v>174264.3094943733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39736"/>
        <c:axId val="1887773400"/>
      </c:lineChart>
      <c:catAx>
        <c:axId val="186493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77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777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251691077475419"/>
              <c:y val="0.08987858225038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3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276338514680484"/>
          <c:y val="0.794038367155325"/>
          <c:w val="0.952917465627677"/>
          <c:h val="0.2059616328446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Income!$B$72:$E$72</c:f>
              <c:numCache>
                <c:formatCode>#,##0</c:formatCode>
                <c:ptCount val="4"/>
                <c:pt idx="0">
                  <c:v>1337.545101512585</c:v>
                </c:pt>
                <c:pt idx="1">
                  <c:v>3118.061854820051</c:v>
                </c:pt>
                <c:pt idx="2">
                  <c:v>3694.603097026329</c:v>
                </c:pt>
                <c:pt idx="3">
                  <c:v>2463.542925912378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Income!$B$73:$E$73</c:f>
              <c:numCache>
                <c:formatCode>#,##0</c:formatCode>
                <c:ptCount val="4"/>
                <c:pt idx="0">
                  <c:v>1115.24</c:v>
                </c:pt>
                <c:pt idx="1">
                  <c:v>2996.0</c:v>
                </c:pt>
                <c:pt idx="2">
                  <c:v>6020.0</c:v>
                </c:pt>
                <c:pt idx="3">
                  <c:v>15516.66666666667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178.2397400512107</c:v>
                </c:pt>
                <c:pt idx="2">
                  <c:v>401.34135855546</c:v>
                </c:pt>
                <c:pt idx="3">
                  <c:v>1691.656770616976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2240.0</c:v>
                </c:pt>
                <c:pt idx="2">
                  <c:v>9856.0</c:v>
                </c:pt>
                <c:pt idx="3">
                  <c:v>32862.66666666666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1390.24619675518</c:v>
                </c:pt>
                <c:pt idx="1">
                  <c:v>2609.600000000001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8019.21546961326</c:v>
                </c:pt>
                <c:pt idx="1">
                  <c:v>16381.67071823205</c:v>
                </c:pt>
                <c:pt idx="2">
                  <c:v>898.475138121547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16800.0</c:v>
                </c:pt>
                <c:pt idx="2">
                  <c:v>73920.0</c:v>
                </c:pt>
                <c:pt idx="3">
                  <c:v>188160.0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Income!$B$81:$E$81</c:f>
              <c:numCache>
                <c:formatCode>#,##0</c:formatCode>
                <c:ptCount val="4"/>
                <c:pt idx="0">
                  <c:v>5145.000000000001</c:v>
                </c:pt>
                <c:pt idx="1">
                  <c:v>7190.400000000001</c:v>
                </c:pt>
                <c:pt idx="2">
                  <c:v>7660.800000000001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1075.2</c:v>
                </c:pt>
                <c:pt idx="2">
                  <c:v>0.0</c:v>
                </c:pt>
                <c:pt idx="3">
                  <c:v>188160.0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Income!$B$83:$E$83</c:f>
              <c:numCache>
                <c:formatCode>#,##0</c:formatCode>
                <c:ptCount val="4"/>
                <c:pt idx="0">
                  <c:v>85.76353591160221</c:v>
                </c:pt>
                <c:pt idx="1">
                  <c:v>565.136662959497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Income!$B$84:$E$84</c:f>
              <c:numCache>
                <c:formatCode>#,##0</c:formatCode>
                <c:ptCount val="4"/>
                <c:pt idx="0">
                  <c:v>39.1994413381282</c:v>
                </c:pt>
                <c:pt idx="1">
                  <c:v>53.75923383514724</c:v>
                </c:pt>
                <c:pt idx="2">
                  <c:v>71.67897844686301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Income!$B$85:$E$85</c:f>
              <c:numCache>
                <c:formatCode>#,##0</c:formatCode>
                <c:ptCount val="4"/>
                <c:pt idx="0">
                  <c:v>21051.29090909091</c:v>
                </c:pt>
                <c:pt idx="1">
                  <c:v>22327.70909090909</c:v>
                </c:pt>
                <c:pt idx="2">
                  <c:v>8867.345454545457</c:v>
                </c:pt>
                <c:pt idx="3">
                  <c:v>10345.23636363637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5376.0</c:v>
                </c:pt>
                <c:pt idx="2">
                  <c:v>1344.0</c:v>
                </c:pt>
                <c:pt idx="3">
                  <c:v>18816.0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583400"/>
        <c:axId val="1892082040"/>
      </c:barChart>
      <c:lineChart>
        <c:grouping val="standard"/>
        <c:varyColors val="0"/>
        <c:ser>
          <c:idx val="13"/>
          <c:order val="14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29946.91949437329</c:v>
                </c:pt>
                <c:pt idx="1">
                  <c:v>29946.91949437329</c:v>
                </c:pt>
                <c:pt idx="2">
                  <c:v>29946.91949437329</c:v>
                </c:pt>
                <c:pt idx="3">
                  <c:v>29946.91949437329</c:v>
                </c:pt>
              </c:numCache>
            </c:numRef>
          </c:val>
          <c:smooth val="0"/>
        </c:ser>
        <c:ser>
          <c:idx val="14"/>
          <c:order val="1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47026.26053826613</c:v>
                </c:pt>
                <c:pt idx="1">
                  <c:v>47026.26053826612</c:v>
                </c:pt>
                <c:pt idx="2">
                  <c:v>47026.26053826612</c:v>
                </c:pt>
                <c:pt idx="3">
                  <c:v>47026.26053826612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583400"/>
        <c:axId val="1892082040"/>
      </c:lineChart>
      <c:catAx>
        <c:axId val="189158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082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208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58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99389162403579"/>
          <c:h val="0.8980891719745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1337.545101512585</c:v>
                </c:pt>
                <c:pt idx="1">
                  <c:v>1337.545101512585</c:v>
                </c:pt>
                <c:pt idx="2">
                  <c:v>1337.545101512585</c:v>
                </c:pt>
                <c:pt idx="3">
                  <c:v>1337.545101512585</c:v>
                </c:pt>
                <c:pt idx="4">
                  <c:v>1337.545101512585</c:v>
                </c:pt>
                <c:pt idx="5">
                  <c:v>1337.545101512585</c:v>
                </c:pt>
                <c:pt idx="6">
                  <c:v>1337.545101512585</c:v>
                </c:pt>
                <c:pt idx="7">
                  <c:v>1337.545101512585</c:v>
                </c:pt>
                <c:pt idx="8">
                  <c:v>1337.545101512585</c:v>
                </c:pt>
                <c:pt idx="9">
                  <c:v>1337.545101512585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1115.24</c:v>
                </c:pt>
                <c:pt idx="1">
                  <c:v>1115.24</c:v>
                </c:pt>
                <c:pt idx="2">
                  <c:v>1115.24</c:v>
                </c:pt>
                <c:pt idx="3">
                  <c:v>1115.24</c:v>
                </c:pt>
                <c:pt idx="4">
                  <c:v>1115.24</c:v>
                </c:pt>
                <c:pt idx="5">
                  <c:v>1115.24</c:v>
                </c:pt>
                <c:pt idx="6">
                  <c:v>1115.24</c:v>
                </c:pt>
                <c:pt idx="7">
                  <c:v>1115.24</c:v>
                </c:pt>
                <c:pt idx="8">
                  <c:v>1115.24</c:v>
                </c:pt>
                <c:pt idx="9">
                  <c:v>1115.24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1390.24619675518</c:v>
                </c:pt>
                <c:pt idx="1">
                  <c:v>1390.24619675518</c:v>
                </c:pt>
                <c:pt idx="2">
                  <c:v>1390.24619675518</c:v>
                </c:pt>
                <c:pt idx="3">
                  <c:v>1390.24619675518</c:v>
                </c:pt>
                <c:pt idx="4">
                  <c:v>1390.24619675518</c:v>
                </c:pt>
                <c:pt idx="5">
                  <c:v>1390.24619675518</c:v>
                </c:pt>
                <c:pt idx="6">
                  <c:v>1390.24619675518</c:v>
                </c:pt>
                <c:pt idx="7">
                  <c:v>1390.24619675518</c:v>
                </c:pt>
                <c:pt idx="8">
                  <c:v>1390.24619675518</c:v>
                </c:pt>
                <c:pt idx="9">
                  <c:v>1390.24619675518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8019.21546961326</c:v>
                </c:pt>
                <c:pt idx="1">
                  <c:v>8019.21546961326</c:v>
                </c:pt>
                <c:pt idx="2">
                  <c:v>8019.21546961326</c:v>
                </c:pt>
                <c:pt idx="3">
                  <c:v>8019.21546961326</c:v>
                </c:pt>
                <c:pt idx="4">
                  <c:v>8019.21546961326</c:v>
                </c:pt>
                <c:pt idx="5">
                  <c:v>8019.21546961326</c:v>
                </c:pt>
                <c:pt idx="6">
                  <c:v>8019.21546961326</c:v>
                </c:pt>
                <c:pt idx="7">
                  <c:v>8019.21546961326</c:v>
                </c:pt>
                <c:pt idx="8">
                  <c:v>8019.21546961326</c:v>
                </c:pt>
                <c:pt idx="9">
                  <c:v>8019.21546961326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5145.000000000001</c:v>
                </c:pt>
                <c:pt idx="1">
                  <c:v>5145.000000000001</c:v>
                </c:pt>
                <c:pt idx="2">
                  <c:v>5145.000000000001</c:v>
                </c:pt>
                <c:pt idx="3">
                  <c:v>5145.000000000001</c:v>
                </c:pt>
                <c:pt idx="4">
                  <c:v>5145.000000000001</c:v>
                </c:pt>
                <c:pt idx="5">
                  <c:v>5145.000000000001</c:v>
                </c:pt>
                <c:pt idx="6">
                  <c:v>5145.000000000001</c:v>
                </c:pt>
                <c:pt idx="7">
                  <c:v>5145.000000000001</c:v>
                </c:pt>
                <c:pt idx="8">
                  <c:v>5145.000000000001</c:v>
                </c:pt>
                <c:pt idx="9">
                  <c:v>5145.000000000001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85.76353591160221</c:v>
                </c:pt>
                <c:pt idx="1">
                  <c:v>85.76353591160221</c:v>
                </c:pt>
                <c:pt idx="2">
                  <c:v>85.76353591160221</c:v>
                </c:pt>
                <c:pt idx="3">
                  <c:v>85.76353591160221</c:v>
                </c:pt>
                <c:pt idx="4">
                  <c:v>85.76353591160221</c:v>
                </c:pt>
                <c:pt idx="5">
                  <c:v>85.76353591160221</c:v>
                </c:pt>
                <c:pt idx="6">
                  <c:v>85.76353591160221</c:v>
                </c:pt>
                <c:pt idx="7">
                  <c:v>85.76353591160221</c:v>
                </c:pt>
                <c:pt idx="8">
                  <c:v>85.76353591160221</c:v>
                </c:pt>
                <c:pt idx="9">
                  <c:v>85.76353591160221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302232"/>
        <c:axId val="21164029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29946.91949437329</c:v>
                </c:pt>
                <c:pt idx="1">
                  <c:v>29946.91949437329</c:v>
                </c:pt>
                <c:pt idx="2">
                  <c:v>29946.91949437329</c:v>
                </c:pt>
                <c:pt idx="3">
                  <c:v>29946.91949437329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47026.26053826613</c:v>
                </c:pt>
                <c:pt idx="1">
                  <c:v>47026.26053826612</c:v>
                </c:pt>
                <c:pt idx="2">
                  <c:v>47026.26053826612</c:v>
                </c:pt>
                <c:pt idx="3">
                  <c:v>47026.26053826612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02232"/>
        <c:axId val="2116402952"/>
      </c:lineChart>
      <c:catAx>
        <c:axId val="-2117302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0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40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30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Poor!$K$67:$M$67</c:f>
              <c:numCache>
                <c:formatCode>0%</c:formatCode>
                <c:ptCount val="3"/>
                <c:pt idx="0">
                  <c:v>0.332447241081318</c:v>
                </c:pt>
                <c:pt idx="1">
                  <c:v>0.378989854832702</c:v>
                </c:pt>
                <c:pt idx="2">
                  <c:v>0.378989854832703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0.0563004824994002</c:v>
                </c:pt>
                <c:pt idx="1">
                  <c:v>0.0587675911271365</c:v>
                </c:pt>
                <c:pt idx="2">
                  <c:v>0.0180421881318903</c:v>
                </c:pt>
              </c:numCache>
            </c:numRef>
          </c:val>
        </c:ser>
        <c:ser>
          <c:idx val="1"/>
          <c:order val="2"/>
          <c:tx>
            <c:strRef>
              <c:f>Poor!$A$70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0.0461106816303681</c:v>
                </c:pt>
                <c:pt idx="1">
                  <c:v>0.0481312692955323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0.565141594788914</c:v>
                </c:pt>
                <c:pt idx="1">
                  <c:v>0.589906315134094</c:v>
                </c:pt>
                <c:pt idx="2">
                  <c:v>0.360947666700812</c:v>
                </c:pt>
              </c:numCache>
            </c:numRef>
          </c:val>
        </c:ser>
        <c:ser>
          <c:idx val="4"/>
          <c:order val="4"/>
          <c:tx>
            <c:strRef>
              <c:f>Poor!$A$74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Poor!$K$74:$M$74</c:f>
              <c:numCache>
                <c:formatCode>0%</c:formatCode>
                <c:ptCount val="3"/>
                <c:pt idx="1">
                  <c:v>-0.642753210751385</c:v>
                </c:pt>
                <c:pt idx="2">
                  <c:v>-0.0531863901242442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7821528"/>
        <c:axId val="-2142272552"/>
      </c:barChart>
      <c:catAx>
        <c:axId val="188782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27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27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8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Middle!$K$67:$M$67</c:f>
              <c:numCache>
                <c:formatCode>0%</c:formatCode>
                <c:ptCount val="3"/>
                <c:pt idx="0">
                  <c:v>0.235869958621095</c:v>
                </c:pt>
                <c:pt idx="1">
                  <c:v>0.268891752828048</c:v>
                </c:pt>
                <c:pt idx="2">
                  <c:v>0.268891752828048</c:v>
                </c:pt>
              </c:numCache>
            </c:numRef>
          </c:val>
        </c:ser>
        <c:ser>
          <c:idx val="2"/>
          <c:order val="1"/>
          <c:tx>
            <c:strRef>
              <c:f>Middle!$A$71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Middle!$K$71:$M$71</c:f>
              <c:numCache>
                <c:formatCode>0%</c:formatCode>
                <c:ptCount val="3"/>
                <c:pt idx="0">
                  <c:v>0.0399449621969729</c:v>
                </c:pt>
                <c:pt idx="1">
                  <c:v>0.0420785975766264</c:v>
                </c:pt>
                <c:pt idx="2">
                  <c:v>0.0477359689667219</c:v>
                </c:pt>
              </c:numCache>
            </c:numRef>
          </c:val>
        </c:ser>
        <c:ser>
          <c:idx val="1"/>
          <c:order val="2"/>
          <c:tx>
            <c:strRef>
              <c:f>Middle!$A$70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0.418901986372943</c:v>
                </c:pt>
                <c:pt idx="1">
                  <c:v>0.441277376148631</c:v>
                </c:pt>
                <c:pt idx="2">
                  <c:v>0.464981204873966</c:v>
                </c:pt>
              </c:numCache>
            </c:numRef>
          </c:val>
        </c:ser>
        <c:ser>
          <c:idx val="3"/>
          <c:order val="3"/>
          <c:tx>
            <c:strRef>
              <c:f>Middle!$A$72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Middle!$K$72:$M$72</c:f>
              <c:numCache>
                <c:formatCode>0%</c:formatCode>
                <c:ptCount val="3"/>
                <c:pt idx="0">
                  <c:v>0.30528309280899</c:v>
                </c:pt>
                <c:pt idx="1">
                  <c:v>0.321589599857747</c:v>
                </c:pt>
                <c:pt idx="2">
                  <c:v>0.292617464762924</c:v>
                </c:pt>
              </c:numCache>
            </c:numRef>
          </c:val>
        </c:ser>
        <c:ser>
          <c:idx val="4"/>
          <c:order val="4"/>
          <c:tx>
            <c:strRef>
              <c:f>Middle!$A$74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25400">
              <a:noFill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1">
                  <c:v>-0.0237038287253348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981400"/>
        <c:axId val="1890964472"/>
      </c:barChart>
      <c:catAx>
        <c:axId val="188698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96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096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98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949554896142433"/>
          <c:y val="0.80666719160105"/>
          <c:w val="0.860534358279399"/>
          <c:h val="0.1133333333333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Rich!$K$67:$M$67</c:f>
              <c:numCache>
                <c:formatCode>0%</c:formatCode>
                <c:ptCount val="3"/>
                <c:pt idx="0">
                  <c:v>0.0559548079493437</c:v>
                </c:pt>
                <c:pt idx="1">
                  <c:v>0.0637884810622518</c:v>
                </c:pt>
                <c:pt idx="2">
                  <c:v>0.0637884810622518</c:v>
                </c:pt>
              </c:numCache>
            </c:numRef>
          </c:val>
        </c:ser>
        <c:ser>
          <c:idx val="2"/>
          <c:order val="1"/>
          <c:tx>
            <c:strRef>
              <c:f>Rich!$A$71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Rich!$K$71:$M$71</c:f>
              <c:numCache>
                <c:formatCode>0%</c:formatCode>
                <c:ptCount val="3"/>
                <c:pt idx="0">
                  <c:v>0.011055377653428</c:v>
                </c:pt>
                <c:pt idx="1">
                  <c:v>0.0116937268042002</c:v>
                </c:pt>
                <c:pt idx="2">
                  <c:v>0.0123264900551439</c:v>
                </c:pt>
              </c:numCache>
            </c:numRef>
          </c:val>
        </c:ser>
        <c:ser>
          <c:idx val="1"/>
          <c:order val="2"/>
          <c:tx>
            <c:strRef>
              <c:f>Rich!$A$70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0.223842607435945</c:v>
                </c:pt>
                <c:pt idx="1">
                  <c:v>0.236767515371502</c:v>
                </c:pt>
                <c:pt idx="2">
                  <c:v>0.248465294253899</c:v>
                </c:pt>
              </c:numCache>
            </c:numRef>
          </c:val>
        </c:ser>
        <c:ser>
          <c:idx val="3"/>
          <c:order val="3"/>
          <c:tx>
            <c:strRef>
              <c:f>Rich!$A$72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Rich!$K$72:$M$72</c:f>
              <c:numCache>
                <c:formatCode>0%</c:formatCode>
                <c:ptCount val="3"/>
                <c:pt idx="0">
                  <c:v>0.709147206961283</c:v>
                </c:pt>
                <c:pt idx="1">
                  <c:v>0.750094113663818</c:v>
                </c:pt>
                <c:pt idx="2">
                  <c:v>0.737767465995256</c:v>
                </c:pt>
              </c:numCache>
            </c:numRef>
          </c:val>
        </c:ser>
        <c:ser>
          <c:idx val="4"/>
          <c:order val="4"/>
          <c:tx>
            <c:strRef>
              <c:f>Rich!$A$74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1">
                  <c:v>-0.0116977788823972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480376"/>
        <c:axId val="2106915864"/>
      </c:barChart>
      <c:catAx>
        <c:axId val="213948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91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91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8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V.Poor!$A$67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V.Poor!$K$67:$M$67</c:f>
              <c:numCache>
                <c:formatCode>0%</c:formatCode>
                <c:ptCount val="3"/>
                <c:pt idx="0">
                  <c:v>0.712922639650972</c:v>
                </c:pt>
                <c:pt idx="1">
                  <c:v>0.812731809202108</c:v>
                </c:pt>
                <c:pt idx="2">
                  <c:v>0.812731809202108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0.105642785328058</c:v>
                </c:pt>
                <c:pt idx="1">
                  <c:v>0.10144211572578</c:v>
                </c:pt>
                <c:pt idx="2">
                  <c:v>0.124279527712827</c:v>
                </c:pt>
              </c:numCache>
            </c:numRef>
          </c:val>
        </c:ser>
        <c:ser>
          <c:idx val="1"/>
          <c:order val="2"/>
          <c:tx>
            <c:strRef>
              <c:f>V.Poor!$A$70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0.0354893731961444</c:v>
                </c:pt>
                <c:pt idx="1">
                  <c:v>0.0340782107516292</c:v>
                </c:pt>
                <c:pt idx="2">
                  <c:v>0.0393932042477203</c:v>
                </c:pt>
              </c:numCache>
            </c:numRef>
          </c:val>
        </c:ser>
        <c:ser>
          <c:idx val="3"/>
          <c:order val="3"/>
          <c:tx>
            <c:strRef>
              <c:f>V.Poor!$A$72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V.Poor!$K$72:$M$72</c:f>
              <c:numCache>
                <c:formatCode>0%</c:formatCode>
                <c:ptCount val="3"/>
                <c:pt idx="0">
                  <c:v>0.145945201824825</c:v>
                </c:pt>
                <c:pt idx="1">
                  <c:v>0.140141988940954</c:v>
                </c:pt>
                <c:pt idx="2">
                  <c:v>0.112125661919438</c:v>
                </c:pt>
              </c:numCache>
            </c:numRef>
          </c:val>
        </c:ser>
        <c:ser>
          <c:idx val="4"/>
          <c:order val="4"/>
          <c:tx>
            <c:strRef>
              <c:f>V.Poor!$A$74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V.Poor!$K$74:$M$74</c:f>
              <c:numCache>
                <c:formatCode>0%</c:formatCode>
                <c:ptCount val="3"/>
                <c:pt idx="1">
                  <c:v>-0.00531499349609121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725000"/>
        <c:axId val="1885305992"/>
      </c:barChart>
      <c:catAx>
        <c:axId val="188672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30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30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72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6130071249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0.0321828856075431</c:v>
                </c:pt>
                <c:pt idx="1">
                  <c:v>0.0321828856075431</c:v>
                </c:pt>
                <c:pt idx="2" formatCode="0.0%">
                  <c:v>0.0321828856075431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0.0214552570716954</c:v>
                </c:pt>
                <c:pt idx="1">
                  <c:v>0.0214552570716954</c:v>
                </c:pt>
                <c:pt idx="2" formatCode="0.0%">
                  <c:v>0.0214552570716954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0.00675020014232343</c:v>
                </c:pt>
                <c:pt idx="2" formatCode="0.0%">
                  <c:v>0.00675020014232343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0.371773091976517</c:v>
                </c:pt>
                <c:pt idx="1">
                  <c:v>0.371773091976517</c:v>
                </c:pt>
                <c:pt idx="2" formatCode="0.0%">
                  <c:v>0.362335945376238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0.0506960505248176</c:v>
                </c:pt>
                <c:pt idx="1">
                  <c:v>0.0506960505248176</c:v>
                </c:pt>
                <c:pt idx="2" formatCode="0.0%">
                  <c:v>0.0475503523778004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0.0113961999644191</c:v>
                </c:pt>
                <c:pt idx="1">
                  <c:v>0.0113961999644191</c:v>
                </c:pt>
                <c:pt idx="2" formatCode="0.0%">
                  <c:v>0.0113961999644191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-0.0011016503779251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0.0212150862835794</c:v>
                </c:pt>
                <c:pt idx="1">
                  <c:v>0.0212150862835794</c:v>
                </c:pt>
                <c:pt idx="2" formatCode="0.0%">
                  <c:v>0.0150444634379451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0.0643791140366483</c:v>
                </c:pt>
                <c:pt idx="1">
                  <c:v>0.0643791140366483</c:v>
                </c:pt>
                <c:pt idx="2" formatCode="0.0%">
                  <c:v>0.0621320759060682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0.0235081657138585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0.10815217221135</c:v>
                </c:pt>
                <c:pt idx="1">
                  <c:v>0.0940923898238747</c:v>
                </c:pt>
                <c:pt idx="2" formatCode="0.0%">
                  <c:v>0.0940923898238747</c:v>
                </c:pt>
              </c:numCache>
            </c:numRef>
          </c:val>
        </c:ser>
        <c:ser>
          <c:idx val="15"/>
          <c:order val="14"/>
          <c:tx>
            <c:strRef>
              <c:f>Middle!$A$30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Middle!$K$31:$M$31</c:f>
              <c:numCache>
                <c:formatCode>0%</c:formatCode>
                <c:ptCount val="3"/>
                <c:pt idx="0">
                  <c:v>0.236300706057641</c:v>
                </c:pt>
                <c:pt idx="1">
                  <c:v>0.238663713118217</c:v>
                </c:pt>
                <c:pt idx="2" formatCode="0.0%">
                  <c:v>0.230242500853306</c:v>
                </c:pt>
              </c:numCache>
            </c:numRef>
          </c:val>
        </c:ser>
        <c:ser>
          <c:idx val="8"/>
          <c:order val="16"/>
          <c:tx>
            <c:strRef>
              <c:f>Middle!$A$32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Middle!$K$32:$M$32</c:f>
              <c:numCache>
                <c:formatCode>0%</c:formatCode>
                <c:ptCount val="3"/>
                <c:pt idx="0">
                  <c:v>0.647125394057997</c:v>
                </c:pt>
                <c:pt idx="1">
                  <c:v>0.608652853212742</c:v>
                </c:pt>
                <c:pt idx="2" formatCode="0.0%">
                  <c:v>0.690484839936998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2365128"/>
        <c:axId val="1866988232"/>
      </c:barChart>
      <c:catAx>
        <c:axId val="18823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98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98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36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29673590504451"/>
          <c:y val="0.808889413823272"/>
          <c:w val="0.949555129792752"/>
          <c:h val="0.186666841644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1337.545101512585</c:v>
                </c:pt>
                <c:pt idx="1">
                  <c:v>1337.545101512585</c:v>
                </c:pt>
                <c:pt idx="2">
                  <c:v>1337.545101512585</c:v>
                </c:pt>
                <c:pt idx="3">
                  <c:v>1337.545101512585</c:v>
                </c:pt>
                <c:pt idx="4">
                  <c:v>1337.545101512585</c:v>
                </c:pt>
                <c:pt idx="5">
                  <c:v>1337.545101512585</c:v>
                </c:pt>
                <c:pt idx="6">
                  <c:v>1337.545101512585</c:v>
                </c:pt>
                <c:pt idx="7">
                  <c:v>1337.545101512585</c:v>
                </c:pt>
                <c:pt idx="8">
                  <c:v>1337.545101512585</c:v>
                </c:pt>
                <c:pt idx="9">
                  <c:v>1337.545101512585</c:v>
                </c:pt>
                <c:pt idx="10">
                  <c:v>1337.545101512585</c:v>
                </c:pt>
                <c:pt idx="11">
                  <c:v>1337.545101512585</c:v>
                </c:pt>
                <c:pt idx="12">
                  <c:v>1337.545101512585</c:v>
                </c:pt>
                <c:pt idx="13">
                  <c:v>1337.545101512585</c:v>
                </c:pt>
                <c:pt idx="14">
                  <c:v>1337.545101512585</c:v>
                </c:pt>
                <c:pt idx="15">
                  <c:v>1337.545101512585</c:v>
                </c:pt>
                <c:pt idx="16">
                  <c:v>1337.545101512585</c:v>
                </c:pt>
                <c:pt idx="17">
                  <c:v>1337.545101512585</c:v>
                </c:pt>
                <c:pt idx="18">
                  <c:v>1337.545101512585</c:v>
                </c:pt>
                <c:pt idx="19">
                  <c:v>1337.545101512585</c:v>
                </c:pt>
                <c:pt idx="20">
                  <c:v>1337.545101512585</c:v>
                </c:pt>
                <c:pt idx="21">
                  <c:v>1337.545101512585</c:v>
                </c:pt>
                <c:pt idx="22">
                  <c:v>1337.545101512585</c:v>
                </c:pt>
                <c:pt idx="23">
                  <c:v>1337.545101512585</c:v>
                </c:pt>
                <c:pt idx="24">
                  <c:v>1337.545101512585</c:v>
                </c:pt>
                <c:pt idx="25">
                  <c:v>1337.545101512585</c:v>
                </c:pt>
                <c:pt idx="26">
                  <c:v>1337.545101512585</c:v>
                </c:pt>
                <c:pt idx="27">
                  <c:v>1337.545101512585</c:v>
                </c:pt>
                <c:pt idx="28">
                  <c:v>1337.545101512585</c:v>
                </c:pt>
                <c:pt idx="29">
                  <c:v>1337.545101512585</c:v>
                </c:pt>
                <c:pt idx="30">
                  <c:v>1337.545101512585</c:v>
                </c:pt>
                <c:pt idx="31">
                  <c:v>1337.545101512585</c:v>
                </c:pt>
                <c:pt idx="32">
                  <c:v>1337.545101512585</c:v>
                </c:pt>
                <c:pt idx="33">
                  <c:v>1337.545101512585</c:v>
                </c:pt>
                <c:pt idx="34">
                  <c:v>1337.545101512585</c:v>
                </c:pt>
                <c:pt idx="35">
                  <c:v>1337.545101512585</c:v>
                </c:pt>
                <c:pt idx="36">
                  <c:v>1337.545101512585</c:v>
                </c:pt>
                <c:pt idx="37">
                  <c:v>1337.545101512585</c:v>
                </c:pt>
                <c:pt idx="38">
                  <c:v>1337.545101512585</c:v>
                </c:pt>
                <c:pt idx="39">
                  <c:v>1337.545101512585</c:v>
                </c:pt>
                <c:pt idx="40">
                  <c:v>1337.545101512585</c:v>
                </c:pt>
                <c:pt idx="41">
                  <c:v>1337.545101512585</c:v>
                </c:pt>
                <c:pt idx="42">
                  <c:v>1337.545101512585</c:v>
                </c:pt>
                <c:pt idx="43">
                  <c:v>1337.545101512585</c:v>
                </c:pt>
                <c:pt idx="44">
                  <c:v>1337.545101512585</c:v>
                </c:pt>
                <c:pt idx="45">
                  <c:v>1337.545101512585</c:v>
                </c:pt>
                <c:pt idx="46">
                  <c:v>1337.545101512585</c:v>
                </c:pt>
                <c:pt idx="47">
                  <c:v>3118.061854820051</c:v>
                </c:pt>
                <c:pt idx="48">
                  <c:v>3118.061854820051</c:v>
                </c:pt>
                <c:pt idx="49">
                  <c:v>3118.061854820051</c:v>
                </c:pt>
                <c:pt idx="50">
                  <c:v>3118.061854820051</c:v>
                </c:pt>
                <c:pt idx="51">
                  <c:v>3118.061854820051</c:v>
                </c:pt>
                <c:pt idx="52">
                  <c:v>3118.061854820051</c:v>
                </c:pt>
                <c:pt idx="53">
                  <c:v>3118.061854820051</c:v>
                </c:pt>
                <c:pt idx="54">
                  <c:v>3118.061854820051</c:v>
                </c:pt>
                <c:pt idx="55">
                  <c:v>3118.061854820051</c:v>
                </c:pt>
                <c:pt idx="56">
                  <c:v>3118.061854820051</c:v>
                </c:pt>
                <c:pt idx="57">
                  <c:v>3118.061854820051</c:v>
                </c:pt>
                <c:pt idx="58">
                  <c:v>3118.061854820051</c:v>
                </c:pt>
                <c:pt idx="59">
                  <c:v>3118.061854820051</c:v>
                </c:pt>
                <c:pt idx="60">
                  <c:v>3118.061854820051</c:v>
                </c:pt>
                <c:pt idx="61">
                  <c:v>3118.061854820051</c:v>
                </c:pt>
                <c:pt idx="62">
                  <c:v>3118.061854820051</c:v>
                </c:pt>
                <c:pt idx="63">
                  <c:v>3118.061854820051</c:v>
                </c:pt>
                <c:pt idx="64">
                  <c:v>3118.061854820051</c:v>
                </c:pt>
                <c:pt idx="65">
                  <c:v>3118.061854820051</c:v>
                </c:pt>
                <c:pt idx="66">
                  <c:v>3118.061854820051</c:v>
                </c:pt>
                <c:pt idx="67">
                  <c:v>3118.061854820051</c:v>
                </c:pt>
                <c:pt idx="68">
                  <c:v>3118.061854820051</c:v>
                </c:pt>
                <c:pt idx="69">
                  <c:v>3118.061854820051</c:v>
                </c:pt>
                <c:pt idx="70">
                  <c:v>3118.061854820051</c:v>
                </c:pt>
                <c:pt idx="71">
                  <c:v>3118.061854820051</c:v>
                </c:pt>
                <c:pt idx="72">
                  <c:v>3694.603097026329</c:v>
                </c:pt>
                <c:pt idx="73">
                  <c:v>3694.603097026329</c:v>
                </c:pt>
                <c:pt idx="74">
                  <c:v>3694.603097026329</c:v>
                </c:pt>
                <c:pt idx="75">
                  <c:v>3694.603097026329</c:v>
                </c:pt>
                <c:pt idx="76">
                  <c:v>3694.603097026329</c:v>
                </c:pt>
                <c:pt idx="77">
                  <c:v>3694.603097026329</c:v>
                </c:pt>
                <c:pt idx="78">
                  <c:v>3694.603097026329</c:v>
                </c:pt>
                <c:pt idx="79">
                  <c:v>3694.603097026329</c:v>
                </c:pt>
                <c:pt idx="80">
                  <c:v>3694.603097026329</c:v>
                </c:pt>
                <c:pt idx="81">
                  <c:v>3694.603097026329</c:v>
                </c:pt>
                <c:pt idx="82">
                  <c:v>3694.603097026329</c:v>
                </c:pt>
                <c:pt idx="83">
                  <c:v>3694.603097026329</c:v>
                </c:pt>
                <c:pt idx="84">
                  <c:v>3694.603097026329</c:v>
                </c:pt>
                <c:pt idx="85">
                  <c:v>3694.603097026329</c:v>
                </c:pt>
                <c:pt idx="86">
                  <c:v>3694.603097026329</c:v>
                </c:pt>
                <c:pt idx="87">
                  <c:v>3694.603097026329</c:v>
                </c:pt>
                <c:pt idx="88">
                  <c:v>3694.603097026329</c:v>
                </c:pt>
                <c:pt idx="89">
                  <c:v>3694.603097026329</c:v>
                </c:pt>
                <c:pt idx="90">
                  <c:v>2463.542925912378</c:v>
                </c:pt>
                <c:pt idx="91">
                  <c:v>2463.542925912378</c:v>
                </c:pt>
                <c:pt idx="92">
                  <c:v>2463.542925912378</c:v>
                </c:pt>
                <c:pt idx="93">
                  <c:v>2463.542925912378</c:v>
                </c:pt>
                <c:pt idx="94">
                  <c:v>2463.542925912378</c:v>
                </c:pt>
                <c:pt idx="95">
                  <c:v>2463.542925912378</c:v>
                </c:pt>
                <c:pt idx="96">
                  <c:v>2463.542925912378</c:v>
                </c:pt>
                <c:pt idx="97">
                  <c:v>2463.542925912378</c:v>
                </c:pt>
                <c:pt idx="98">
                  <c:v>2463.542925912378</c:v>
                </c:pt>
                <c:pt idx="99">
                  <c:v>2463.542925912378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1115.24</c:v>
                </c:pt>
                <c:pt idx="1">
                  <c:v>1115.24</c:v>
                </c:pt>
                <c:pt idx="2">
                  <c:v>1115.24</c:v>
                </c:pt>
                <c:pt idx="3">
                  <c:v>1115.24</c:v>
                </c:pt>
                <c:pt idx="4">
                  <c:v>1115.24</c:v>
                </c:pt>
                <c:pt idx="5">
                  <c:v>1115.24</c:v>
                </c:pt>
                <c:pt idx="6">
                  <c:v>1115.24</c:v>
                </c:pt>
                <c:pt idx="7">
                  <c:v>1115.24</c:v>
                </c:pt>
                <c:pt idx="8">
                  <c:v>1115.24</c:v>
                </c:pt>
                <c:pt idx="9">
                  <c:v>1115.24</c:v>
                </c:pt>
                <c:pt idx="10">
                  <c:v>1115.24</c:v>
                </c:pt>
                <c:pt idx="11">
                  <c:v>1115.24</c:v>
                </c:pt>
                <c:pt idx="12">
                  <c:v>1115.24</c:v>
                </c:pt>
                <c:pt idx="13">
                  <c:v>1115.24</c:v>
                </c:pt>
                <c:pt idx="14">
                  <c:v>1115.24</c:v>
                </c:pt>
                <c:pt idx="15">
                  <c:v>1115.24</c:v>
                </c:pt>
                <c:pt idx="16">
                  <c:v>1115.24</c:v>
                </c:pt>
                <c:pt idx="17">
                  <c:v>1115.24</c:v>
                </c:pt>
                <c:pt idx="18">
                  <c:v>1115.24</c:v>
                </c:pt>
                <c:pt idx="19">
                  <c:v>1115.24</c:v>
                </c:pt>
                <c:pt idx="20">
                  <c:v>1115.24</c:v>
                </c:pt>
                <c:pt idx="21">
                  <c:v>1115.24</c:v>
                </c:pt>
                <c:pt idx="22">
                  <c:v>1115.24</c:v>
                </c:pt>
                <c:pt idx="23">
                  <c:v>1115.24</c:v>
                </c:pt>
                <c:pt idx="24">
                  <c:v>1115.24</c:v>
                </c:pt>
                <c:pt idx="25">
                  <c:v>1115.24</c:v>
                </c:pt>
                <c:pt idx="26">
                  <c:v>1115.24</c:v>
                </c:pt>
                <c:pt idx="27">
                  <c:v>1115.24</c:v>
                </c:pt>
                <c:pt idx="28">
                  <c:v>1115.24</c:v>
                </c:pt>
                <c:pt idx="29">
                  <c:v>1115.24</c:v>
                </c:pt>
                <c:pt idx="30">
                  <c:v>1115.24</c:v>
                </c:pt>
                <c:pt idx="31">
                  <c:v>1115.24</c:v>
                </c:pt>
                <c:pt idx="32">
                  <c:v>1115.24</c:v>
                </c:pt>
                <c:pt idx="33">
                  <c:v>1115.24</c:v>
                </c:pt>
                <c:pt idx="34">
                  <c:v>1115.24</c:v>
                </c:pt>
                <c:pt idx="35">
                  <c:v>1115.24</c:v>
                </c:pt>
                <c:pt idx="36">
                  <c:v>1115.24</c:v>
                </c:pt>
                <c:pt idx="37">
                  <c:v>1115.24</c:v>
                </c:pt>
                <c:pt idx="38">
                  <c:v>1115.24</c:v>
                </c:pt>
                <c:pt idx="39">
                  <c:v>1115.24</c:v>
                </c:pt>
                <c:pt idx="40">
                  <c:v>1115.24</c:v>
                </c:pt>
                <c:pt idx="41">
                  <c:v>1115.24</c:v>
                </c:pt>
                <c:pt idx="42">
                  <c:v>1115.24</c:v>
                </c:pt>
                <c:pt idx="43">
                  <c:v>1115.24</c:v>
                </c:pt>
                <c:pt idx="44">
                  <c:v>1115.24</c:v>
                </c:pt>
                <c:pt idx="45">
                  <c:v>1115.24</c:v>
                </c:pt>
                <c:pt idx="46">
                  <c:v>1115.24</c:v>
                </c:pt>
                <c:pt idx="47">
                  <c:v>2996.0</c:v>
                </c:pt>
                <c:pt idx="48">
                  <c:v>2996.0</c:v>
                </c:pt>
                <c:pt idx="49">
                  <c:v>2996.0</c:v>
                </c:pt>
                <c:pt idx="50">
                  <c:v>2996.0</c:v>
                </c:pt>
                <c:pt idx="51">
                  <c:v>2996.0</c:v>
                </c:pt>
                <c:pt idx="52">
                  <c:v>2996.0</c:v>
                </c:pt>
                <c:pt idx="53">
                  <c:v>2996.0</c:v>
                </c:pt>
                <c:pt idx="54">
                  <c:v>2996.0</c:v>
                </c:pt>
                <c:pt idx="55">
                  <c:v>2996.0</c:v>
                </c:pt>
                <c:pt idx="56">
                  <c:v>2996.0</c:v>
                </c:pt>
                <c:pt idx="57">
                  <c:v>2996.0</c:v>
                </c:pt>
                <c:pt idx="58">
                  <c:v>2996.0</c:v>
                </c:pt>
                <c:pt idx="59">
                  <c:v>2996.0</c:v>
                </c:pt>
                <c:pt idx="60">
                  <c:v>2996.0</c:v>
                </c:pt>
                <c:pt idx="61">
                  <c:v>2996.0</c:v>
                </c:pt>
                <c:pt idx="62">
                  <c:v>2996.0</c:v>
                </c:pt>
                <c:pt idx="63">
                  <c:v>2996.0</c:v>
                </c:pt>
                <c:pt idx="64">
                  <c:v>2996.0</c:v>
                </c:pt>
                <c:pt idx="65">
                  <c:v>2996.0</c:v>
                </c:pt>
                <c:pt idx="66">
                  <c:v>2996.0</c:v>
                </c:pt>
                <c:pt idx="67">
                  <c:v>2996.0</c:v>
                </c:pt>
                <c:pt idx="68">
                  <c:v>2996.0</c:v>
                </c:pt>
                <c:pt idx="69">
                  <c:v>2996.0</c:v>
                </c:pt>
                <c:pt idx="70">
                  <c:v>2996.0</c:v>
                </c:pt>
                <c:pt idx="71">
                  <c:v>2996.0</c:v>
                </c:pt>
                <c:pt idx="72">
                  <c:v>6020.0</c:v>
                </c:pt>
                <c:pt idx="73">
                  <c:v>6020.0</c:v>
                </c:pt>
                <c:pt idx="74">
                  <c:v>6020.0</c:v>
                </c:pt>
                <c:pt idx="75">
                  <c:v>6020.0</c:v>
                </c:pt>
                <c:pt idx="76">
                  <c:v>6020.0</c:v>
                </c:pt>
                <c:pt idx="77">
                  <c:v>6020.0</c:v>
                </c:pt>
                <c:pt idx="78">
                  <c:v>6020.0</c:v>
                </c:pt>
                <c:pt idx="79">
                  <c:v>6020.0</c:v>
                </c:pt>
                <c:pt idx="80">
                  <c:v>6020.0</c:v>
                </c:pt>
                <c:pt idx="81">
                  <c:v>6020.0</c:v>
                </c:pt>
                <c:pt idx="82">
                  <c:v>6020.0</c:v>
                </c:pt>
                <c:pt idx="83">
                  <c:v>6020.0</c:v>
                </c:pt>
                <c:pt idx="84">
                  <c:v>6020.0</c:v>
                </c:pt>
                <c:pt idx="85">
                  <c:v>6020.0</c:v>
                </c:pt>
                <c:pt idx="86">
                  <c:v>6020.0</c:v>
                </c:pt>
                <c:pt idx="87">
                  <c:v>6020.0</c:v>
                </c:pt>
                <c:pt idx="88">
                  <c:v>6020.0</c:v>
                </c:pt>
                <c:pt idx="89">
                  <c:v>6020.0</c:v>
                </c:pt>
                <c:pt idx="90">
                  <c:v>15516.66666666667</c:v>
                </c:pt>
                <c:pt idx="91">
                  <c:v>15516.66666666667</c:v>
                </c:pt>
                <c:pt idx="92">
                  <c:v>15516.66666666667</c:v>
                </c:pt>
                <c:pt idx="93">
                  <c:v>15516.66666666667</c:v>
                </c:pt>
                <c:pt idx="94">
                  <c:v>15516.66666666667</c:v>
                </c:pt>
                <c:pt idx="95">
                  <c:v>15516.66666666667</c:v>
                </c:pt>
                <c:pt idx="96">
                  <c:v>15516.66666666667</c:v>
                </c:pt>
                <c:pt idx="97">
                  <c:v>15516.66666666667</c:v>
                </c:pt>
                <c:pt idx="98">
                  <c:v>15516.66666666667</c:v>
                </c:pt>
                <c:pt idx="99">
                  <c:v>15516.66666666667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178.2397400512107</c:v>
                </c:pt>
                <c:pt idx="48">
                  <c:v>178.2397400512107</c:v>
                </c:pt>
                <c:pt idx="49">
                  <c:v>178.2397400512107</c:v>
                </c:pt>
                <c:pt idx="50">
                  <c:v>178.2397400512107</c:v>
                </c:pt>
                <c:pt idx="51">
                  <c:v>178.2397400512107</c:v>
                </c:pt>
                <c:pt idx="52">
                  <c:v>178.2397400512107</c:v>
                </c:pt>
                <c:pt idx="53">
                  <c:v>178.2397400512107</c:v>
                </c:pt>
                <c:pt idx="54">
                  <c:v>178.2397400512107</c:v>
                </c:pt>
                <c:pt idx="55">
                  <c:v>178.2397400512107</c:v>
                </c:pt>
                <c:pt idx="56">
                  <c:v>178.2397400512107</c:v>
                </c:pt>
                <c:pt idx="57">
                  <c:v>178.2397400512107</c:v>
                </c:pt>
                <c:pt idx="58">
                  <c:v>178.2397400512107</c:v>
                </c:pt>
                <c:pt idx="59">
                  <c:v>178.2397400512107</c:v>
                </c:pt>
                <c:pt idx="60">
                  <c:v>178.2397400512107</c:v>
                </c:pt>
                <c:pt idx="61">
                  <c:v>178.2397400512107</c:v>
                </c:pt>
                <c:pt idx="62">
                  <c:v>178.2397400512107</c:v>
                </c:pt>
                <c:pt idx="63">
                  <c:v>178.2397400512107</c:v>
                </c:pt>
                <c:pt idx="64">
                  <c:v>178.2397400512107</c:v>
                </c:pt>
                <c:pt idx="65">
                  <c:v>178.2397400512107</c:v>
                </c:pt>
                <c:pt idx="66">
                  <c:v>178.2397400512107</c:v>
                </c:pt>
                <c:pt idx="67">
                  <c:v>178.2397400512107</c:v>
                </c:pt>
                <c:pt idx="68">
                  <c:v>178.2397400512107</c:v>
                </c:pt>
                <c:pt idx="69">
                  <c:v>178.2397400512107</c:v>
                </c:pt>
                <c:pt idx="70">
                  <c:v>178.2397400512107</c:v>
                </c:pt>
                <c:pt idx="71">
                  <c:v>178.2397400512107</c:v>
                </c:pt>
                <c:pt idx="72">
                  <c:v>401.34135855546</c:v>
                </c:pt>
                <c:pt idx="73">
                  <c:v>401.34135855546</c:v>
                </c:pt>
                <c:pt idx="74">
                  <c:v>401.34135855546</c:v>
                </c:pt>
                <c:pt idx="75">
                  <c:v>401.34135855546</c:v>
                </c:pt>
                <c:pt idx="76">
                  <c:v>401.34135855546</c:v>
                </c:pt>
                <c:pt idx="77">
                  <c:v>401.34135855546</c:v>
                </c:pt>
                <c:pt idx="78">
                  <c:v>401.34135855546</c:v>
                </c:pt>
                <c:pt idx="79">
                  <c:v>401.34135855546</c:v>
                </c:pt>
                <c:pt idx="80">
                  <c:v>401.34135855546</c:v>
                </c:pt>
                <c:pt idx="81">
                  <c:v>401.34135855546</c:v>
                </c:pt>
                <c:pt idx="82">
                  <c:v>401.34135855546</c:v>
                </c:pt>
                <c:pt idx="83">
                  <c:v>401.34135855546</c:v>
                </c:pt>
                <c:pt idx="84">
                  <c:v>401.34135855546</c:v>
                </c:pt>
                <c:pt idx="85">
                  <c:v>401.34135855546</c:v>
                </c:pt>
                <c:pt idx="86">
                  <c:v>401.34135855546</c:v>
                </c:pt>
                <c:pt idx="87">
                  <c:v>401.34135855546</c:v>
                </c:pt>
                <c:pt idx="88">
                  <c:v>401.34135855546</c:v>
                </c:pt>
                <c:pt idx="89">
                  <c:v>401.34135855546</c:v>
                </c:pt>
                <c:pt idx="90">
                  <c:v>1691.656770616976</c:v>
                </c:pt>
                <c:pt idx="91">
                  <c:v>1691.656770616976</c:v>
                </c:pt>
                <c:pt idx="92">
                  <c:v>1691.656770616976</c:v>
                </c:pt>
                <c:pt idx="93">
                  <c:v>1691.656770616976</c:v>
                </c:pt>
                <c:pt idx="94">
                  <c:v>1691.656770616976</c:v>
                </c:pt>
                <c:pt idx="95">
                  <c:v>1691.656770616976</c:v>
                </c:pt>
                <c:pt idx="96">
                  <c:v>1691.656770616976</c:v>
                </c:pt>
                <c:pt idx="97">
                  <c:v>1691.656770616976</c:v>
                </c:pt>
                <c:pt idx="98">
                  <c:v>1691.656770616976</c:v>
                </c:pt>
                <c:pt idx="99">
                  <c:v>1691.656770616976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2240.0</c:v>
                </c:pt>
                <c:pt idx="48">
                  <c:v>2240.0</c:v>
                </c:pt>
                <c:pt idx="49">
                  <c:v>2240.0</c:v>
                </c:pt>
                <c:pt idx="50">
                  <c:v>2240.0</c:v>
                </c:pt>
                <c:pt idx="51">
                  <c:v>2240.0</c:v>
                </c:pt>
                <c:pt idx="52">
                  <c:v>2240.0</c:v>
                </c:pt>
                <c:pt idx="53">
                  <c:v>2240.0</c:v>
                </c:pt>
                <c:pt idx="54">
                  <c:v>2240.0</c:v>
                </c:pt>
                <c:pt idx="55">
                  <c:v>2240.0</c:v>
                </c:pt>
                <c:pt idx="56">
                  <c:v>2240.0</c:v>
                </c:pt>
                <c:pt idx="57">
                  <c:v>2240.0</c:v>
                </c:pt>
                <c:pt idx="58">
                  <c:v>2240.0</c:v>
                </c:pt>
                <c:pt idx="59">
                  <c:v>2240.0</c:v>
                </c:pt>
                <c:pt idx="60">
                  <c:v>2240.0</c:v>
                </c:pt>
                <c:pt idx="61">
                  <c:v>2240.0</c:v>
                </c:pt>
                <c:pt idx="62">
                  <c:v>2240.0</c:v>
                </c:pt>
                <c:pt idx="63">
                  <c:v>2240.0</c:v>
                </c:pt>
                <c:pt idx="64">
                  <c:v>2240.0</c:v>
                </c:pt>
                <c:pt idx="65">
                  <c:v>2240.0</c:v>
                </c:pt>
                <c:pt idx="66">
                  <c:v>2240.0</c:v>
                </c:pt>
                <c:pt idx="67">
                  <c:v>2240.0</c:v>
                </c:pt>
                <c:pt idx="68">
                  <c:v>2240.0</c:v>
                </c:pt>
                <c:pt idx="69">
                  <c:v>2240.0</c:v>
                </c:pt>
                <c:pt idx="70">
                  <c:v>2240.0</c:v>
                </c:pt>
                <c:pt idx="71">
                  <c:v>2240.0</c:v>
                </c:pt>
                <c:pt idx="72">
                  <c:v>9856.0</c:v>
                </c:pt>
                <c:pt idx="73">
                  <c:v>9856.0</c:v>
                </c:pt>
                <c:pt idx="74">
                  <c:v>9856.0</c:v>
                </c:pt>
                <c:pt idx="75">
                  <c:v>9856.0</c:v>
                </c:pt>
                <c:pt idx="76">
                  <c:v>9856.0</c:v>
                </c:pt>
                <c:pt idx="77">
                  <c:v>9856.0</c:v>
                </c:pt>
                <c:pt idx="78">
                  <c:v>9856.0</c:v>
                </c:pt>
                <c:pt idx="79">
                  <c:v>9856.0</c:v>
                </c:pt>
                <c:pt idx="80">
                  <c:v>9856.0</c:v>
                </c:pt>
                <c:pt idx="81">
                  <c:v>9856.0</c:v>
                </c:pt>
                <c:pt idx="82">
                  <c:v>9856.0</c:v>
                </c:pt>
                <c:pt idx="83">
                  <c:v>9856.0</c:v>
                </c:pt>
                <c:pt idx="84">
                  <c:v>9856.0</c:v>
                </c:pt>
                <c:pt idx="85">
                  <c:v>9856.0</c:v>
                </c:pt>
                <c:pt idx="86">
                  <c:v>9856.0</c:v>
                </c:pt>
                <c:pt idx="87">
                  <c:v>9856.0</c:v>
                </c:pt>
                <c:pt idx="88">
                  <c:v>9856.0</c:v>
                </c:pt>
                <c:pt idx="89">
                  <c:v>9856.0</c:v>
                </c:pt>
                <c:pt idx="90">
                  <c:v>32862.66666666666</c:v>
                </c:pt>
                <c:pt idx="91">
                  <c:v>32862.66666666666</c:v>
                </c:pt>
                <c:pt idx="92">
                  <c:v>32862.66666666666</c:v>
                </c:pt>
                <c:pt idx="93">
                  <c:v>32862.66666666666</c:v>
                </c:pt>
                <c:pt idx="94">
                  <c:v>32862.66666666666</c:v>
                </c:pt>
                <c:pt idx="95">
                  <c:v>32862.66666666666</c:v>
                </c:pt>
                <c:pt idx="96">
                  <c:v>32862.66666666666</c:v>
                </c:pt>
                <c:pt idx="97">
                  <c:v>32862.66666666666</c:v>
                </c:pt>
                <c:pt idx="98">
                  <c:v>32862.66666666666</c:v>
                </c:pt>
                <c:pt idx="99">
                  <c:v>32862.66666666666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1390.24619675518</c:v>
                </c:pt>
                <c:pt idx="1">
                  <c:v>1390.24619675518</c:v>
                </c:pt>
                <c:pt idx="2">
                  <c:v>1390.24619675518</c:v>
                </c:pt>
                <c:pt idx="3">
                  <c:v>1390.24619675518</c:v>
                </c:pt>
                <c:pt idx="4">
                  <c:v>1390.24619675518</c:v>
                </c:pt>
                <c:pt idx="5">
                  <c:v>1390.24619675518</c:v>
                </c:pt>
                <c:pt idx="6">
                  <c:v>1390.24619675518</c:v>
                </c:pt>
                <c:pt idx="7">
                  <c:v>1390.24619675518</c:v>
                </c:pt>
                <c:pt idx="8">
                  <c:v>1390.24619675518</c:v>
                </c:pt>
                <c:pt idx="9">
                  <c:v>1390.24619675518</c:v>
                </c:pt>
                <c:pt idx="10">
                  <c:v>1390.24619675518</c:v>
                </c:pt>
                <c:pt idx="11">
                  <c:v>1390.24619675518</c:v>
                </c:pt>
                <c:pt idx="12">
                  <c:v>1390.24619675518</c:v>
                </c:pt>
                <c:pt idx="13">
                  <c:v>1390.24619675518</c:v>
                </c:pt>
                <c:pt idx="14">
                  <c:v>1390.24619675518</c:v>
                </c:pt>
                <c:pt idx="15">
                  <c:v>1390.24619675518</c:v>
                </c:pt>
                <c:pt idx="16">
                  <c:v>1390.24619675518</c:v>
                </c:pt>
                <c:pt idx="17">
                  <c:v>1390.24619675518</c:v>
                </c:pt>
                <c:pt idx="18">
                  <c:v>1390.24619675518</c:v>
                </c:pt>
                <c:pt idx="19">
                  <c:v>1390.24619675518</c:v>
                </c:pt>
                <c:pt idx="20">
                  <c:v>1390.24619675518</c:v>
                </c:pt>
                <c:pt idx="21">
                  <c:v>1390.24619675518</c:v>
                </c:pt>
                <c:pt idx="22">
                  <c:v>1390.24619675518</c:v>
                </c:pt>
                <c:pt idx="23">
                  <c:v>1390.24619675518</c:v>
                </c:pt>
                <c:pt idx="24">
                  <c:v>1390.24619675518</c:v>
                </c:pt>
                <c:pt idx="25">
                  <c:v>1390.24619675518</c:v>
                </c:pt>
                <c:pt idx="26">
                  <c:v>1390.24619675518</c:v>
                </c:pt>
                <c:pt idx="27">
                  <c:v>1390.24619675518</c:v>
                </c:pt>
                <c:pt idx="28">
                  <c:v>1390.24619675518</c:v>
                </c:pt>
                <c:pt idx="29">
                  <c:v>1390.24619675518</c:v>
                </c:pt>
                <c:pt idx="30">
                  <c:v>1390.24619675518</c:v>
                </c:pt>
                <c:pt idx="31">
                  <c:v>1390.24619675518</c:v>
                </c:pt>
                <c:pt idx="32">
                  <c:v>1390.24619675518</c:v>
                </c:pt>
                <c:pt idx="33">
                  <c:v>1390.24619675518</c:v>
                </c:pt>
                <c:pt idx="34">
                  <c:v>1390.24619675518</c:v>
                </c:pt>
                <c:pt idx="35">
                  <c:v>1390.24619675518</c:v>
                </c:pt>
                <c:pt idx="36">
                  <c:v>1390.24619675518</c:v>
                </c:pt>
                <c:pt idx="37">
                  <c:v>1390.24619675518</c:v>
                </c:pt>
                <c:pt idx="38">
                  <c:v>1390.24619675518</c:v>
                </c:pt>
                <c:pt idx="39">
                  <c:v>1390.24619675518</c:v>
                </c:pt>
                <c:pt idx="40">
                  <c:v>1390.24619675518</c:v>
                </c:pt>
                <c:pt idx="41">
                  <c:v>1390.24619675518</c:v>
                </c:pt>
                <c:pt idx="42">
                  <c:v>1390.24619675518</c:v>
                </c:pt>
                <c:pt idx="43">
                  <c:v>1390.24619675518</c:v>
                </c:pt>
                <c:pt idx="44">
                  <c:v>1390.24619675518</c:v>
                </c:pt>
                <c:pt idx="45">
                  <c:v>1390.24619675518</c:v>
                </c:pt>
                <c:pt idx="46">
                  <c:v>1390.24619675518</c:v>
                </c:pt>
                <c:pt idx="47">
                  <c:v>2609.600000000001</c:v>
                </c:pt>
                <c:pt idx="48">
                  <c:v>2609.600000000001</c:v>
                </c:pt>
                <c:pt idx="49">
                  <c:v>2609.600000000001</c:v>
                </c:pt>
                <c:pt idx="50">
                  <c:v>2609.600000000001</c:v>
                </c:pt>
                <c:pt idx="51">
                  <c:v>2609.600000000001</c:v>
                </c:pt>
                <c:pt idx="52">
                  <c:v>2609.600000000001</c:v>
                </c:pt>
                <c:pt idx="53">
                  <c:v>2609.600000000001</c:v>
                </c:pt>
                <c:pt idx="54">
                  <c:v>2609.600000000001</c:v>
                </c:pt>
                <c:pt idx="55">
                  <c:v>2609.600000000001</c:v>
                </c:pt>
                <c:pt idx="56">
                  <c:v>2609.600000000001</c:v>
                </c:pt>
                <c:pt idx="57">
                  <c:v>2609.600000000001</c:v>
                </c:pt>
                <c:pt idx="58">
                  <c:v>2609.600000000001</c:v>
                </c:pt>
                <c:pt idx="59">
                  <c:v>2609.600000000001</c:v>
                </c:pt>
                <c:pt idx="60">
                  <c:v>2609.600000000001</c:v>
                </c:pt>
                <c:pt idx="61">
                  <c:v>2609.600000000001</c:v>
                </c:pt>
                <c:pt idx="62">
                  <c:v>2609.600000000001</c:v>
                </c:pt>
                <c:pt idx="63">
                  <c:v>2609.600000000001</c:v>
                </c:pt>
                <c:pt idx="64">
                  <c:v>2609.600000000001</c:v>
                </c:pt>
                <c:pt idx="65">
                  <c:v>2609.600000000001</c:v>
                </c:pt>
                <c:pt idx="66">
                  <c:v>2609.600000000001</c:v>
                </c:pt>
                <c:pt idx="67">
                  <c:v>2609.600000000001</c:v>
                </c:pt>
                <c:pt idx="68">
                  <c:v>2609.600000000001</c:v>
                </c:pt>
                <c:pt idx="69">
                  <c:v>2609.600000000001</c:v>
                </c:pt>
                <c:pt idx="70">
                  <c:v>2609.600000000001</c:v>
                </c:pt>
                <c:pt idx="71">
                  <c:v>2609.600000000001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8019.21546961326</c:v>
                </c:pt>
                <c:pt idx="1">
                  <c:v>8019.21546961326</c:v>
                </c:pt>
                <c:pt idx="2">
                  <c:v>8019.21546961326</c:v>
                </c:pt>
                <c:pt idx="3">
                  <c:v>8019.21546961326</c:v>
                </c:pt>
                <c:pt idx="4">
                  <c:v>8019.21546961326</c:v>
                </c:pt>
                <c:pt idx="5">
                  <c:v>8019.21546961326</c:v>
                </c:pt>
                <c:pt idx="6">
                  <c:v>8019.21546961326</c:v>
                </c:pt>
                <c:pt idx="7">
                  <c:v>8019.21546961326</c:v>
                </c:pt>
                <c:pt idx="8">
                  <c:v>8019.21546961326</c:v>
                </c:pt>
                <c:pt idx="9">
                  <c:v>8019.21546961326</c:v>
                </c:pt>
                <c:pt idx="10">
                  <c:v>8019.21546961326</c:v>
                </c:pt>
                <c:pt idx="11">
                  <c:v>8019.21546961326</c:v>
                </c:pt>
                <c:pt idx="12">
                  <c:v>8019.21546961326</c:v>
                </c:pt>
                <c:pt idx="13">
                  <c:v>8019.21546961326</c:v>
                </c:pt>
                <c:pt idx="14">
                  <c:v>8019.21546961326</c:v>
                </c:pt>
                <c:pt idx="15">
                  <c:v>8019.21546961326</c:v>
                </c:pt>
                <c:pt idx="16">
                  <c:v>8019.21546961326</c:v>
                </c:pt>
                <c:pt idx="17">
                  <c:v>8019.21546961326</c:v>
                </c:pt>
                <c:pt idx="18">
                  <c:v>8019.21546961326</c:v>
                </c:pt>
                <c:pt idx="19">
                  <c:v>8019.21546961326</c:v>
                </c:pt>
                <c:pt idx="20">
                  <c:v>8019.21546961326</c:v>
                </c:pt>
                <c:pt idx="21">
                  <c:v>8019.21546961326</c:v>
                </c:pt>
                <c:pt idx="22">
                  <c:v>8019.21546961326</c:v>
                </c:pt>
                <c:pt idx="23">
                  <c:v>8019.21546961326</c:v>
                </c:pt>
                <c:pt idx="24">
                  <c:v>8019.21546961326</c:v>
                </c:pt>
                <c:pt idx="25">
                  <c:v>8019.21546961326</c:v>
                </c:pt>
                <c:pt idx="26">
                  <c:v>8019.21546961326</c:v>
                </c:pt>
                <c:pt idx="27">
                  <c:v>8019.21546961326</c:v>
                </c:pt>
                <c:pt idx="28">
                  <c:v>8019.21546961326</c:v>
                </c:pt>
                <c:pt idx="29">
                  <c:v>8019.21546961326</c:v>
                </c:pt>
                <c:pt idx="30">
                  <c:v>8019.21546961326</c:v>
                </c:pt>
                <c:pt idx="31">
                  <c:v>8019.21546961326</c:v>
                </c:pt>
                <c:pt idx="32">
                  <c:v>8019.21546961326</c:v>
                </c:pt>
                <c:pt idx="33">
                  <c:v>8019.21546961326</c:v>
                </c:pt>
                <c:pt idx="34">
                  <c:v>8019.21546961326</c:v>
                </c:pt>
                <c:pt idx="35">
                  <c:v>8019.21546961326</c:v>
                </c:pt>
                <c:pt idx="36">
                  <c:v>8019.21546961326</c:v>
                </c:pt>
                <c:pt idx="37">
                  <c:v>8019.21546961326</c:v>
                </c:pt>
                <c:pt idx="38">
                  <c:v>8019.21546961326</c:v>
                </c:pt>
                <c:pt idx="39">
                  <c:v>8019.21546961326</c:v>
                </c:pt>
                <c:pt idx="40">
                  <c:v>8019.21546961326</c:v>
                </c:pt>
                <c:pt idx="41">
                  <c:v>8019.21546961326</c:v>
                </c:pt>
                <c:pt idx="42">
                  <c:v>8019.21546961326</c:v>
                </c:pt>
                <c:pt idx="43">
                  <c:v>8019.21546961326</c:v>
                </c:pt>
                <c:pt idx="44">
                  <c:v>8019.21546961326</c:v>
                </c:pt>
                <c:pt idx="45">
                  <c:v>8019.21546961326</c:v>
                </c:pt>
                <c:pt idx="46">
                  <c:v>8019.21546961326</c:v>
                </c:pt>
                <c:pt idx="47">
                  <c:v>16381.67071823205</c:v>
                </c:pt>
                <c:pt idx="48">
                  <c:v>16381.67071823205</c:v>
                </c:pt>
                <c:pt idx="49">
                  <c:v>16381.67071823205</c:v>
                </c:pt>
                <c:pt idx="50">
                  <c:v>16381.67071823205</c:v>
                </c:pt>
                <c:pt idx="51">
                  <c:v>16381.67071823205</c:v>
                </c:pt>
                <c:pt idx="52">
                  <c:v>16381.67071823205</c:v>
                </c:pt>
                <c:pt idx="53">
                  <c:v>16381.67071823205</c:v>
                </c:pt>
                <c:pt idx="54">
                  <c:v>16381.67071823205</c:v>
                </c:pt>
                <c:pt idx="55">
                  <c:v>16381.67071823205</c:v>
                </c:pt>
                <c:pt idx="56">
                  <c:v>16381.67071823205</c:v>
                </c:pt>
                <c:pt idx="57">
                  <c:v>16381.67071823205</c:v>
                </c:pt>
                <c:pt idx="58">
                  <c:v>16381.67071823205</c:v>
                </c:pt>
                <c:pt idx="59">
                  <c:v>16381.67071823205</c:v>
                </c:pt>
                <c:pt idx="60">
                  <c:v>16381.67071823205</c:v>
                </c:pt>
                <c:pt idx="61">
                  <c:v>16381.67071823205</c:v>
                </c:pt>
                <c:pt idx="62">
                  <c:v>16381.67071823205</c:v>
                </c:pt>
                <c:pt idx="63">
                  <c:v>16381.67071823205</c:v>
                </c:pt>
                <c:pt idx="64">
                  <c:v>16381.67071823205</c:v>
                </c:pt>
                <c:pt idx="65">
                  <c:v>16381.67071823205</c:v>
                </c:pt>
                <c:pt idx="66">
                  <c:v>16381.67071823205</c:v>
                </c:pt>
                <c:pt idx="67">
                  <c:v>16381.67071823205</c:v>
                </c:pt>
                <c:pt idx="68">
                  <c:v>16381.67071823205</c:v>
                </c:pt>
                <c:pt idx="69">
                  <c:v>16381.67071823205</c:v>
                </c:pt>
                <c:pt idx="70">
                  <c:v>16381.67071823205</c:v>
                </c:pt>
                <c:pt idx="71">
                  <c:v>16381.67071823205</c:v>
                </c:pt>
                <c:pt idx="72">
                  <c:v>898.475138121547</c:v>
                </c:pt>
                <c:pt idx="73">
                  <c:v>898.475138121547</c:v>
                </c:pt>
                <c:pt idx="74">
                  <c:v>898.475138121547</c:v>
                </c:pt>
                <c:pt idx="75">
                  <c:v>898.475138121547</c:v>
                </c:pt>
                <c:pt idx="76">
                  <c:v>898.475138121547</c:v>
                </c:pt>
                <c:pt idx="77">
                  <c:v>898.475138121547</c:v>
                </c:pt>
                <c:pt idx="78">
                  <c:v>898.475138121547</c:v>
                </c:pt>
                <c:pt idx="79">
                  <c:v>898.475138121547</c:v>
                </c:pt>
                <c:pt idx="80">
                  <c:v>898.475138121547</c:v>
                </c:pt>
                <c:pt idx="81">
                  <c:v>898.475138121547</c:v>
                </c:pt>
                <c:pt idx="82">
                  <c:v>898.475138121547</c:v>
                </c:pt>
                <c:pt idx="83">
                  <c:v>898.475138121547</c:v>
                </c:pt>
                <c:pt idx="84">
                  <c:v>898.475138121547</c:v>
                </c:pt>
                <c:pt idx="85">
                  <c:v>898.475138121547</c:v>
                </c:pt>
                <c:pt idx="86">
                  <c:v>898.475138121547</c:v>
                </c:pt>
                <c:pt idx="87">
                  <c:v>898.475138121547</c:v>
                </c:pt>
                <c:pt idx="88">
                  <c:v>898.475138121547</c:v>
                </c:pt>
                <c:pt idx="89">
                  <c:v>898.475138121547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16800.0</c:v>
                </c:pt>
                <c:pt idx="48">
                  <c:v>16800.0</c:v>
                </c:pt>
                <c:pt idx="49">
                  <c:v>16800.0</c:v>
                </c:pt>
                <c:pt idx="50">
                  <c:v>16800.0</c:v>
                </c:pt>
                <c:pt idx="51">
                  <c:v>16800.0</c:v>
                </c:pt>
                <c:pt idx="52">
                  <c:v>16800.0</c:v>
                </c:pt>
                <c:pt idx="53">
                  <c:v>16800.0</c:v>
                </c:pt>
                <c:pt idx="54">
                  <c:v>16800.0</c:v>
                </c:pt>
                <c:pt idx="55">
                  <c:v>16800.0</c:v>
                </c:pt>
                <c:pt idx="56">
                  <c:v>16800.0</c:v>
                </c:pt>
                <c:pt idx="57">
                  <c:v>16800.0</c:v>
                </c:pt>
                <c:pt idx="58">
                  <c:v>16800.0</c:v>
                </c:pt>
                <c:pt idx="59">
                  <c:v>16800.0</c:v>
                </c:pt>
                <c:pt idx="60">
                  <c:v>16800.0</c:v>
                </c:pt>
                <c:pt idx="61">
                  <c:v>16800.0</c:v>
                </c:pt>
                <c:pt idx="62">
                  <c:v>16800.0</c:v>
                </c:pt>
                <c:pt idx="63">
                  <c:v>16800.0</c:v>
                </c:pt>
                <c:pt idx="64">
                  <c:v>16800.0</c:v>
                </c:pt>
                <c:pt idx="65">
                  <c:v>16800.0</c:v>
                </c:pt>
                <c:pt idx="66">
                  <c:v>16800.0</c:v>
                </c:pt>
                <c:pt idx="67">
                  <c:v>16800.0</c:v>
                </c:pt>
                <c:pt idx="68">
                  <c:v>16800.0</c:v>
                </c:pt>
                <c:pt idx="69">
                  <c:v>16800.0</c:v>
                </c:pt>
                <c:pt idx="70">
                  <c:v>16800.0</c:v>
                </c:pt>
                <c:pt idx="71">
                  <c:v>16800.0</c:v>
                </c:pt>
                <c:pt idx="72">
                  <c:v>73920.0</c:v>
                </c:pt>
                <c:pt idx="73">
                  <c:v>73920.0</c:v>
                </c:pt>
                <c:pt idx="74">
                  <c:v>73920.0</c:v>
                </c:pt>
                <c:pt idx="75">
                  <c:v>73920.0</c:v>
                </c:pt>
                <c:pt idx="76">
                  <c:v>73920.0</c:v>
                </c:pt>
                <c:pt idx="77">
                  <c:v>73920.0</c:v>
                </c:pt>
                <c:pt idx="78">
                  <c:v>73920.0</c:v>
                </c:pt>
                <c:pt idx="79">
                  <c:v>73920.0</c:v>
                </c:pt>
                <c:pt idx="80">
                  <c:v>73920.0</c:v>
                </c:pt>
                <c:pt idx="81">
                  <c:v>73920.0</c:v>
                </c:pt>
                <c:pt idx="82">
                  <c:v>73920.0</c:v>
                </c:pt>
                <c:pt idx="83">
                  <c:v>73920.0</c:v>
                </c:pt>
                <c:pt idx="84">
                  <c:v>73920.0</c:v>
                </c:pt>
                <c:pt idx="85">
                  <c:v>73920.0</c:v>
                </c:pt>
                <c:pt idx="86">
                  <c:v>73920.0</c:v>
                </c:pt>
                <c:pt idx="87">
                  <c:v>73920.0</c:v>
                </c:pt>
                <c:pt idx="88">
                  <c:v>73920.0</c:v>
                </c:pt>
                <c:pt idx="89">
                  <c:v>73920.0</c:v>
                </c:pt>
                <c:pt idx="90">
                  <c:v>188160.0</c:v>
                </c:pt>
                <c:pt idx="91">
                  <c:v>188160.0</c:v>
                </c:pt>
                <c:pt idx="92">
                  <c:v>188160.0</c:v>
                </c:pt>
                <c:pt idx="93">
                  <c:v>188160.0</c:v>
                </c:pt>
                <c:pt idx="94">
                  <c:v>188160.0</c:v>
                </c:pt>
                <c:pt idx="95">
                  <c:v>188160.0</c:v>
                </c:pt>
                <c:pt idx="96">
                  <c:v>188160.0</c:v>
                </c:pt>
                <c:pt idx="97">
                  <c:v>188160.0</c:v>
                </c:pt>
                <c:pt idx="98">
                  <c:v>188160.0</c:v>
                </c:pt>
                <c:pt idx="99">
                  <c:v>188160.0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5145.000000000001</c:v>
                </c:pt>
                <c:pt idx="1">
                  <c:v>5145.000000000001</c:v>
                </c:pt>
                <c:pt idx="2">
                  <c:v>5145.000000000001</c:v>
                </c:pt>
                <c:pt idx="3">
                  <c:v>5145.000000000001</c:v>
                </c:pt>
                <c:pt idx="4">
                  <c:v>5145.000000000001</c:v>
                </c:pt>
                <c:pt idx="5">
                  <c:v>5145.000000000001</c:v>
                </c:pt>
                <c:pt idx="6">
                  <c:v>5145.000000000001</c:v>
                </c:pt>
                <c:pt idx="7">
                  <c:v>5145.000000000001</c:v>
                </c:pt>
                <c:pt idx="8">
                  <c:v>5145.000000000001</c:v>
                </c:pt>
                <c:pt idx="9">
                  <c:v>5145.000000000001</c:v>
                </c:pt>
                <c:pt idx="10">
                  <c:v>5145.000000000001</c:v>
                </c:pt>
                <c:pt idx="11">
                  <c:v>5145.000000000001</c:v>
                </c:pt>
                <c:pt idx="12">
                  <c:v>5145.000000000001</c:v>
                </c:pt>
                <c:pt idx="13">
                  <c:v>5145.000000000001</c:v>
                </c:pt>
                <c:pt idx="14">
                  <c:v>5145.000000000001</c:v>
                </c:pt>
                <c:pt idx="15">
                  <c:v>5145.000000000001</c:v>
                </c:pt>
                <c:pt idx="16">
                  <c:v>5145.000000000001</c:v>
                </c:pt>
                <c:pt idx="17">
                  <c:v>5145.000000000001</c:v>
                </c:pt>
                <c:pt idx="18">
                  <c:v>5145.000000000001</c:v>
                </c:pt>
                <c:pt idx="19">
                  <c:v>5145.000000000001</c:v>
                </c:pt>
                <c:pt idx="20">
                  <c:v>5145.000000000001</c:v>
                </c:pt>
                <c:pt idx="21">
                  <c:v>5145.000000000001</c:v>
                </c:pt>
                <c:pt idx="22">
                  <c:v>5145.000000000001</c:v>
                </c:pt>
                <c:pt idx="23">
                  <c:v>5145.000000000001</c:v>
                </c:pt>
                <c:pt idx="24">
                  <c:v>5145.000000000001</c:v>
                </c:pt>
                <c:pt idx="25">
                  <c:v>5145.000000000001</c:v>
                </c:pt>
                <c:pt idx="26">
                  <c:v>5145.000000000001</c:v>
                </c:pt>
                <c:pt idx="27">
                  <c:v>5145.000000000001</c:v>
                </c:pt>
                <c:pt idx="28">
                  <c:v>5145.000000000001</c:v>
                </c:pt>
                <c:pt idx="29">
                  <c:v>5145.000000000001</c:v>
                </c:pt>
                <c:pt idx="30">
                  <c:v>5145.000000000001</c:v>
                </c:pt>
                <c:pt idx="31">
                  <c:v>5145.000000000001</c:v>
                </c:pt>
                <c:pt idx="32">
                  <c:v>5145.000000000001</c:v>
                </c:pt>
                <c:pt idx="33">
                  <c:v>5145.000000000001</c:v>
                </c:pt>
                <c:pt idx="34">
                  <c:v>5145.000000000001</c:v>
                </c:pt>
                <c:pt idx="35">
                  <c:v>5145.000000000001</c:v>
                </c:pt>
                <c:pt idx="36">
                  <c:v>5145.000000000001</c:v>
                </c:pt>
                <c:pt idx="37">
                  <c:v>5145.000000000001</c:v>
                </c:pt>
                <c:pt idx="38">
                  <c:v>5145.000000000001</c:v>
                </c:pt>
                <c:pt idx="39">
                  <c:v>5145.000000000001</c:v>
                </c:pt>
                <c:pt idx="40">
                  <c:v>5145.000000000001</c:v>
                </c:pt>
                <c:pt idx="41">
                  <c:v>5145.000000000001</c:v>
                </c:pt>
                <c:pt idx="42">
                  <c:v>5145.000000000001</c:v>
                </c:pt>
                <c:pt idx="43">
                  <c:v>5145.000000000001</c:v>
                </c:pt>
                <c:pt idx="44">
                  <c:v>5145.000000000001</c:v>
                </c:pt>
                <c:pt idx="45">
                  <c:v>5145.000000000001</c:v>
                </c:pt>
                <c:pt idx="46">
                  <c:v>5145.000000000001</c:v>
                </c:pt>
                <c:pt idx="47">
                  <c:v>7190.400000000001</c:v>
                </c:pt>
                <c:pt idx="48">
                  <c:v>7190.400000000001</c:v>
                </c:pt>
                <c:pt idx="49">
                  <c:v>7190.400000000001</c:v>
                </c:pt>
                <c:pt idx="50">
                  <c:v>7190.400000000001</c:v>
                </c:pt>
                <c:pt idx="51">
                  <c:v>7190.400000000001</c:v>
                </c:pt>
                <c:pt idx="52">
                  <c:v>7190.400000000001</c:v>
                </c:pt>
                <c:pt idx="53">
                  <c:v>7190.400000000001</c:v>
                </c:pt>
                <c:pt idx="54">
                  <c:v>7190.400000000001</c:v>
                </c:pt>
                <c:pt idx="55">
                  <c:v>7190.400000000001</c:v>
                </c:pt>
                <c:pt idx="56">
                  <c:v>7190.400000000001</c:v>
                </c:pt>
                <c:pt idx="57">
                  <c:v>7190.400000000001</c:v>
                </c:pt>
                <c:pt idx="58">
                  <c:v>7190.400000000001</c:v>
                </c:pt>
                <c:pt idx="59">
                  <c:v>7190.400000000001</c:v>
                </c:pt>
                <c:pt idx="60">
                  <c:v>7190.400000000001</c:v>
                </c:pt>
                <c:pt idx="61">
                  <c:v>7190.400000000001</c:v>
                </c:pt>
                <c:pt idx="62">
                  <c:v>7190.400000000001</c:v>
                </c:pt>
                <c:pt idx="63">
                  <c:v>7190.400000000001</c:v>
                </c:pt>
                <c:pt idx="64">
                  <c:v>7190.400000000001</c:v>
                </c:pt>
                <c:pt idx="65">
                  <c:v>7190.400000000001</c:v>
                </c:pt>
                <c:pt idx="66">
                  <c:v>7190.400000000001</c:v>
                </c:pt>
                <c:pt idx="67">
                  <c:v>7190.400000000001</c:v>
                </c:pt>
                <c:pt idx="68">
                  <c:v>7190.400000000001</c:v>
                </c:pt>
                <c:pt idx="69">
                  <c:v>7190.400000000001</c:v>
                </c:pt>
                <c:pt idx="70">
                  <c:v>7190.400000000001</c:v>
                </c:pt>
                <c:pt idx="71">
                  <c:v>7190.400000000001</c:v>
                </c:pt>
                <c:pt idx="72">
                  <c:v>7660.800000000001</c:v>
                </c:pt>
                <c:pt idx="73">
                  <c:v>7660.800000000001</c:v>
                </c:pt>
                <c:pt idx="74">
                  <c:v>7660.800000000001</c:v>
                </c:pt>
                <c:pt idx="75">
                  <c:v>7660.800000000001</c:v>
                </c:pt>
                <c:pt idx="76">
                  <c:v>7660.800000000001</c:v>
                </c:pt>
                <c:pt idx="77">
                  <c:v>7660.800000000001</c:v>
                </c:pt>
                <c:pt idx="78">
                  <c:v>7660.800000000001</c:v>
                </c:pt>
                <c:pt idx="79">
                  <c:v>7660.800000000001</c:v>
                </c:pt>
                <c:pt idx="80">
                  <c:v>7660.800000000001</c:v>
                </c:pt>
                <c:pt idx="81">
                  <c:v>7660.800000000001</c:v>
                </c:pt>
                <c:pt idx="82">
                  <c:v>7660.800000000001</c:v>
                </c:pt>
                <c:pt idx="83">
                  <c:v>7660.800000000001</c:v>
                </c:pt>
                <c:pt idx="84">
                  <c:v>7660.800000000001</c:v>
                </c:pt>
                <c:pt idx="85">
                  <c:v>7660.800000000001</c:v>
                </c:pt>
                <c:pt idx="86">
                  <c:v>7660.800000000001</c:v>
                </c:pt>
                <c:pt idx="87">
                  <c:v>7660.800000000001</c:v>
                </c:pt>
                <c:pt idx="88">
                  <c:v>7660.800000000001</c:v>
                </c:pt>
                <c:pt idx="89">
                  <c:v>7660.800000000001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1075.2</c:v>
                </c:pt>
                <c:pt idx="48">
                  <c:v>1075.2</c:v>
                </c:pt>
                <c:pt idx="49">
                  <c:v>1075.2</c:v>
                </c:pt>
                <c:pt idx="50">
                  <c:v>1075.2</c:v>
                </c:pt>
                <c:pt idx="51">
                  <c:v>1075.2</c:v>
                </c:pt>
                <c:pt idx="52">
                  <c:v>1075.2</c:v>
                </c:pt>
                <c:pt idx="53">
                  <c:v>1075.2</c:v>
                </c:pt>
                <c:pt idx="54">
                  <c:v>1075.2</c:v>
                </c:pt>
                <c:pt idx="55">
                  <c:v>1075.2</c:v>
                </c:pt>
                <c:pt idx="56">
                  <c:v>1075.2</c:v>
                </c:pt>
                <c:pt idx="57">
                  <c:v>1075.2</c:v>
                </c:pt>
                <c:pt idx="58">
                  <c:v>1075.2</c:v>
                </c:pt>
                <c:pt idx="59">
                  <c:v>1075.2</c:v>
                </c:pt>
                <c:pt idx="60">
                  <c:v>1075.2</c:v>
                </c:pt>
                <c:pt idx="61">
                  <c:v>1075.2</c:v>
                </c:pt>
                <c:pt idx="62">
                  <c:v>1075.2</c:v>
                </c:pt>
                <c:pt idx="63">
                  <c:v>1075.2</c:v>
                </c:pt>
                <c:pt idx="64">
                  <c:v>1075.2</c:v>
                </c:pt>
                <c:pt idx="65">
                  <c:v>1075.2</c:v>
                </c:pt>
                <c:pt idx="66">
                  <c:v>1075.2</c:v>
                </c:pt>
                <c:pt idx="67">
                  <c:v>1075.2</c:v>
                </c:pt>
                <c:pt idx="68">
                  <c:v>1075.2</c:v>
                </c:pt>
                <c:pt idx="69">
                  <c:v>1075.2</c:v>
                </c:pt>
                <c:pt idx="70">
                  <c:v>1075.2</c:v>
                </c:pt>
                <c:pt idx="71">
                  <c:v>1075.2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188160.0</c:v>
                </c:pt>
                <c:pt idx="91">
                  <c:v>188160.0</c:v>
                </c:pt>
                <c:pt idx="92">
                  <c:v>188160.0</c:v>
                </c:pt>
                <c:pt idx="93">
                  <c:v>188160.0</c:v>
                </c:pt>
                <c:pt idx="94">
                  <c:v>188160.0</c:v>
                </c:pt>
                <c:pt idx="95">
                  <c:v>188160.0</c:v>
                </c:pt>
                <c:pt idx="96">
                  <c:v>188160.0</c:v>
                </c:pt>
                <c:pt idx="97">
                  <c:v>188160.0</c:v>
                </c:pt>
                <c:pt idx="98">
                  <c:v>188160.0</c:v>
                </c:pt>
                <c:pt idx="99">
                  <c:v>188160.0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85.76353591160221</c:v>
                </c:pt>
                <c:pt idx="1">
                  <c:v>85.76353591160221</c:v>
                </c:pt>
                <c:pt idx="2">
                  <c:v>85.76353591160221</c:v>
                </c:pt>
                <c:pt idx="3">
                  <c:v>85.76353591160221</c:v>
                </c:pt>
                <c:pt idx="4">
                  <c:v>85.76353591160221</c:v>
                </c:pt>
                <c:pt idx="5">
                  <c:v>85.76353591160221</c:v>
                </c:pt>
                <c:pt idx="6">
                  <c:v>85.76353591160221</c:v>
                </c:pt>
                <c:pt idx="7">
                  <c:v>85.76353591160221</c:v>
                </c:pt>
                <c:pt idx="8">
                  <c:v>85.76353591160221</c:v>
                </c:pt>
                <c:pt idx="9">
                  <c:v>85.76353591160221</c:v>
                </c:pt>
                <c:pt idx="10">
                  <c:v>85.76353591160221</c:v>
                </c:pt>
                <c:pt idx="11">
                  <c:v>85.76353591160221</c:v>
                </c:pt>
                <c:pt idx="12">
                  <c:v>85.76353591160221</c:v>
                </c:pt>
                <c:pt idx="13">
                  <c:v>85.76353591160221</c:v>
                </c:pt>
                <c:pt idx="14">
                  <c:v>85.76353591160221</c:v>
                </c:pt>
                <c:pt idx="15">
                  <c:v>85.76353591160221</c:v>
                </c:pt>
                <c:pt idx="16">
                  <c:v>85.76353591160221</c:v>
                </c:pt>
                <c:pt idx="17">
                  <c:v>85.76353591160221</c:v>
                </c:pt>
                <c:pt idx="18">
                  <c:v>85.76353591160221</c:v>
                </c:pt>
                <c:pt idx="19">
                  <c:v>85.76353591160221</c:v>
                </c:pt>
                <c:pt idx="20">
                  <c:v>85.76353591160221</c:v>
                </c:pt>
                <c:pt idx="21">
                  <c:v>85.76353591160221</c:v>
                </c:pt>
                <c:pt idx="22">
                  <c:v>85.76353591160221</c:v>
                </c:pt>
                <c:pt idx="23">
                  <c:v>85.76353591160221</c:v>
                </c:pt>
                <c:pt idx="24">
                  <c:v>85.76353591160221</c:v>
                </c:pt>
                <c:pt idx="25">
                  <c:v>85.76353591160221</c:v>
                </c:pt>
                <c:pt idx="26">
                  <c:v>85.76353591160221</c:v>
                </c:pt>
                <c:pt idx="27">
                  <c:v>85.76353591160221</c:v>
                </c:pt>
                <c:pt idx="28">
                  <c:v>85.76353591160221</c:v>
                </c:pt>
                <c:pt idx="29">
                  <c:v>85.76353591160221</c:v>
                </c:pt>
                <c:pt idx="30">
                  <c:v>85.76353591160221</c:v>
                </c:pt>
                <c:pt idx="31">
                  <c:v>85.76353591160221</c:v>
                </c:pt>
                <c:pt idx="32">
                  <c:v>85.76353591160221</c:v>
                </c:pt>
                <c:pt idx="33">
                  <c:v>85.76353591160221</c:v>
                </c:pt>
                <c:pt idx="34">
                  <c:v>85.76353591160221</c:v>
                </c:pt>
                <c:pt idx="35">
                  <c:v>85.76353591160221</c:v>
                </c:pt>
                <c:pt idx="36">
                  <c:v>85.76353591160221</c:v>
                </c:pt>
                <c:pt idx="37">
                  <c:v>85.76353591160221</c:v>
                </c:pt>
                <c:pt idx="38">
                  <c:v>85.76353591160221</c:v>
                </c:pt>
                <c:pt idx="39">
                  <c:v>85.76353591160221</c:v>
                </c:pt>
                <c:pt idx="40">
                  <c:v>85.76353591160221</c:v>
                </c:pt>
                <c:pt idx="41">
                  <c:v>85.76353591160221</c:v>
                </c:pt>
                <c:pt idx="42">
                  <c:v>85.76353591160221</c:v>
                </c:pt>
                <c:pt idx="43">
                  <c:v>85.76353591160221</c:v>
                </c:pt>
                <c:pt idx="44">
                  <c:v>85.76353591160221</c:v>
                </c:pt>
                <c:pt idx="45">
                  <c:v>85.76353591160221</c:v>
                </c:pt>
                <c:pt idx="46">
                  <c:v>85.76353591160221</c:v>
                </c:pt>
                <c:pt idx="47">
                  <c:v>565.136662959497</c:v>
                </c:pt>
                <c:pt idx="48">
                  <c:v>565.136662959497</c:v>
                </c:pt>
                <c:pt idx="49">
                  <c:v>565.136662959497</c:v>
                </c:pt>
                <c:pt idx="50">
                  <c:v>565.136662959497</c:v>
                </c:pt>
                <c:pt idx="51">
                  <c:v>565.136662959497</c:v>
                </c:pt>
                <c:pt idx="52">
                  <c:v>565.136662959497</c:v>
                </c:pt>
                <c:pt idx="53">
                  <c:v>565.136662959497</c:v>
                </c:pt>
                <c:pt idx="54">
                  <c:v>565.136662959497</c:v>
                </c:pt>
                <c:pt idx="55">
                  <c:v>565.136662959497</c:v>
                </c:pt>
                <c:pt idx="56">
                  <c:v>565.136662959497</c:v>
                </c:pt>
                <c:pt idx="57">
                  <c:v>565.136662959497</c:v>
                </c:pt>
                <c:pt idx="58">
                  <c:v>565.136662959497</c:v>
                </c:pt>
                <c:pt idx="59">
                  <c:v>565.136662959497</c:v>
                </c:pt>
                <c:pt idx="60">
                  <c:v>565.136662959497</c:v>
                </c:pt>
                <c:pt idx="61">
                  <c:v>565.136662959497</c:v>
                </c:pt>
                <c:pt idx="62">
                  <c:v>565.136662959497</c:v>
                </c:pt>
                <c:pt idx="63">
                  <c:v>565.136662959497</c:v>
                </c:pt>
                <c:pt idx="64">
                  <c:v>565.136662959497</c:v>
                </c:pt>
                <c:pt idx="65">
                  <c:v>565.136662959497</c:v>
                </c:pt>
                <c:pt idx="66">
                  <c:v>565.136662959497</c:v>
                </c:pt>
                <c:pt idx="67">
                  <c:v>565.136662959497</c:v>
                </c:pt>
                <c:pt idx="68">
                  <c:v>565.136662959497</c:v>
                </c:pt>
                <c:pt idx="69">
                  <c:v>565.136662959497</c:v>
                </c:pt>
                <c:pt idx="70">
                  <c:v>565.136662959497</c:v>
                </c:pt>
                <c:pt idx="71">
                  <c:v>565.136662959497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21051.29090909091</c:v>
                </c:pt>
                <c:pt idx="1">
                  <c:v>21051.29090909091</c:v>
                </c:pt>
                <c:pt idx="2">
                  <c:v>21051.29090909091</c:v>
                </c:pt>
                <c:pt idx="3">
                  <c:v>21051.29090909091</c:v>
                </c:pt>
                <c:pt idx="4">
                  <c:v>21051.29090909091</c:v>
                </c:pt>
                <c:pt idx="5">
                  <c:v>21051.29090909091</c:v>
                </c:pt>
                <c:pt idx="6">
                  <c:v>21051.29090909091</c:v>
                </c:pt>
                <c:pt idx="7">
                  <c:v>21051.29090909091</c:v>
                </c:pt>
                <c:pt idx="8">
                  <c:v>21051.29090909091</c:v>
                </c:pt>
                <c:pt idx="9">
                  <c:v>21051.29090909091</c:v>
                </c:pt>
                <c:pt idx="10">
                  <c:v>21051.29090909091</c:v>
                </c:pt>
                <c:pt idx="11">
                  <c:v>21051.29090909091</c:v>
                </c:pt>
                <c:pt idx="12">
                  <c:v>21051.29090909091</c:v>
                </c:pt>
                <c:pt idx="13">
                  <c:v>21051.29090909091</c:v>
                </c:pt>
                <c:pt idx="14">
                  <c:v>21051.29090909091</c:v>
                </c:pt>
                <c:pt idx="15">
                  <c:v>21051.29090909091</c:v>
                </c:pt>
                <c:pt idx="16">
                  <c:v>21051.29090909091</c:v>
                </c:pt>
                <c:pt idx="17">
                  <c:v>21051.29090909091</c:v>
                </c:pt>
                <c:pt idx="18">
                  <c:v>21051.29090909091</c:v>
                </c:pt>
                <c:pt idx="19">
                  <c:v>21051.29090909091</c:v>
                </c:pt>
                <c:pt idx="20">
                  <c:v>21051.29090909091</c:v>
                </c:pt>
                <c:pt idx="21">
                  <c:v>21051.29090909091</c:v>
                </c:pt>
                <c:pt idx="22">
                  <c:v>21051.29090909091</c:v>
                </c:pt>
                <c:pt idx="23">
                  <c:v>21051.29090909091</c:v>
                </c:pt>
                <c:pt idx="24">
                  <c:v>21051.29090909091</c:v>
                </c:pt>
                <c:pt idx="25">
                  <c:v>21051.29090909091</c:v>
                </c:pt>
                <c:pt idx="26">
                  <c:v>21051.29090909091</c:v>
                </c:pt>
                <c:pt idx="27">
                  <c:v>21051.29090909091</c:v>
                </c:pt>
                <c:pt idx="28">
                  <c:v>21051.29090909091</c:v>
                </c:pt>
                <c:pt idx="29">
                  <c:v>21051.29090909091</c:v>
                </c:pt>
                <c:pt idx="30">
                  <c:v>21051.29090909091</c:v>
                </c:pt>
                <c:pt idx="31">
                  <c:v>21051.29090909091</c:v>
                </c:pt>
                <c:pt idx="32">
                  <c:v>21051.29090909091</c:v>
                </c:pt>
                <c:pt idx="33">
                  <c:v>21051.29090909091</c:v>
                </c:pt>
                <c:pt idx="34">
                  <c:v>21051.29090909091</c:v>
                </c:pt>
                <c:pt idx="35">
                  <c:v>21051.29090909091</c:v>
                </c:pt>
                <c:pt idx="36">
                  <c:v>21051.29090909091</c:v>
                </c:pt>
                <c:pt idx="37">
                  <c:v>21051.29090909091</c:v>
                </c:pt>
                <c:pt idx="38">
                  <c:v>21051.29090909091</c:v>
                </c:pt>
                <c:pt idx="39">
                  <c:v>21051.29090909091</c:v>
                </c:pt>
                <c:pt idx="40">
                  <c:v>21051.29090909091</c:v>
                </c:pt>
                <c:pt idx="41">
                  <c:v>21051.29090909091</c:v>
                </c:pt>
                <c:pt idx="42">
                  <c:v>21051.29090909091</c:v>
                </c:pt>
                <c:pt idx="43">
                  <c:v>21051.29090909091</c:v>
                </c:pt>
                <c:pt idx="44">
                  <c:v>21051.29090909091</c:v>
                </c:pt>
                <c:pt idx="45">
                  <c:v>21051.29090909091</c:v>
                </c:pt>
                <c:pt idx="46">
                  <c:v>21051.29090909091</c:v>
                </c:pt>
                <c:pt idx="47">
                  <c:v>22327.70909090909</c:v>
                </c:pt>
                <c:pt idx="48">
                  <c:v>22327.70909090909</c:v>
                </c:pt>
                <c:pt idx="49">
                  <c:v>22327.70909090909</c:v>
                </c:pt>
                <c:pt idx="50">
                  <c:v>22327.70909090909</c:v>
                </c:pt>
                <c:pt idx="51">
                  <c:v>22327.70909090909</c:v>
                </c:pt>
                <c:pt idx="52">
                  <c:v>22327.70909090909</c:v>
                </c:pt>
                <c:pt idx="53">
                  <c:v>22327.70909090909</c:v>
                </c:pt>
                <c:pt idx="54">
                  <c:v>22327.70909090909</c:v>
                </c:pt>
                <c:pt idx="55">
                  <c:v>22327.70909090909</c:v>
                </c:pt>
                <c:pt idx="56">
                  <c:v>22327.70909090909</c:v>
                </c:pt>
                <c:pt idx="57">
                  <c:v>22327.70909090909</c:v>
                </c:pt>
                <c:pt idx="58">
                  <c:v>22327.70909090909</c:v>
                </c:pt>
                <c:pt idx="59">
                  <c:v>22327.70909090909</c:v>
                </c:pt>
                <c:pt idx="60">
                  <c:v>22327.70909090909</c:v>
                </c:pt>
                <c:pt idx="61">
                  <c:v>22327.70909090909</c:v>
                </c:pt>
                <c:pt idx="62">
                  <c:v>22327.70909090909</c:v>
                </c:pt>
                <c:pt idx="63">
                  <c:v>22327.70909090909</c:v>
                </c:pt>
                <c:pt idx="64">
                  <c:v>22327.70909090909</c:v>
                </c:pt>
                <c:pt idx="65">
                  <c:v>22327.70909090909</c:v>
                </c:pt>
                <c:pt idx="66">
                  <c:v>22327.70909090909</c:v>
                </c:pt>
                <c:pt idx="67">
                  <c:v>22327.70909090909</c:v>
                </c:pt>
                <c:pt idx="68">
                  <c:v>22327.70909090909</c:v>
                </c:pt>
                <c:pt idx="69">
                  <c:v>22327.70909090909</c:v>
                </c:pt>
                <c:pt idx="70">
                  <c:v>22327.70909090909</c:v>
                </c:pt>
                <c:pt idx="71">
                  <c:v>22327.70909090909</c:v>
                </c:pt>
                <c:pt idx="72">
                  <c:v>8867.345454545457</c:v>
                </c:pt>
                <c:pt idx="73">
                  <c:v>8867.345454545457</c:v>
                </c:pt>
                <c:pt idx="74">
                  <c:v>8867.345454545457</c:v>
                </c:pt>
                <c:pt idx="75">
                  <c:v>8867.345454545457</c:v>
                </c:pt>
                <c:pt idx="76">
                  <c:v>8867.345454545457</c:v>
                </c:pt>
                <c:pt idx="77">
                  <c:v>8867.345454545457</c:v>
                </c:pt>
                <c:pt idx="78">
                  <c:v>8867.345454545457</c:v>
                </c:pt>
                <c:pt idx="79">
                  <c:v>8867.345454545457</c:v>
                </c:pt>
                <c:pt idx="80">
                  <c:v>8867.345454545457</c:v>
                </c:pt>
                <c:pt idx="81">
                  <c:v>8867.345454545457</c:v>
                </c:pt>
                <c:pt idx="82">
                  <c:v>8867.345454545457</c:v>
                </c:pt>
                <c:pt idx="83">
                  <c:v>8867.345454545457</c:v>
                </c:pt>
                <c:pt idx="84">
                  <c:v>8867.345454545457</c:v>
                </c:pt>
                <c:pt idx="85">
                  <c:v>8867.345454545457</c:v>
                </c:pt>
                <c:pt idx="86">
                  <c:v>8867.345454545457</c:v>
                </c:pt>
                <c:pt idx="87">
                  <c:v>8867.345454545457</c:v>
                </c:pt>
                <c:pt idx="88">
                  <c:v>8867.345454545457</c:v>
                </c:pt>
                <c:pt idx="89">
                  <c:v>8867.345454545457</c:v>
                </c:pt>
                <c:pt idx="90">
                  <c:v>10345.23636363637</c:v>
                </c:pt>
                <c:pt idx="91">
                  <c:v>10345.23636363637</c:v>
                </c:pt>
                <c:pt idx="92">
                  <c:v>10345.23636363637</c:v>
                </c:pt>
                <c:pt idx="93">
                  <c:v>10345.23636363637</c:v>
                </c:pt>
                <c:pt idx="94">
                  <c:v>10345.23636363637</c:v>
                </c:pt>
                <c:pt idx="95">
                  <c:v>10345.23636363637</c:v>
                </c:pt>
                <c:pt idx="96">
                  <c:v>10345.23636363637</c:v>
                </c:pt>
                <c:pt idx="97">
                  <c:v>10345.23636363637</c:v>
                </c:pt>
                <c:pt idx="98">
                  <c:v>10345.23636363637</c:v>
                </c:pt>
                <c:pt idx="99">
                  <c:v>10345.23636363637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5376.0</c:v>
                </c:pt>
                <c:pt idx="48">
                  <c:v>5376.0</c:v>
                </c:pt>
                <c:pt idx="49">
                  <c:v>5376.0</c:v>
                </c:pt>
                <c:pt idx="50">
                  <c:v>5376.0</c:v>
                </c:pt>
                <c:pt idx="51">
                  <c:v>5376.0</c:v>
                </c:pt>
                <c:pt idx="52">
                  <c:v>5376.0</c:v>
                </c:pt>
                <c:pt idx="53">
                  <c:v>5376.0</c:v>
                </c:pt>
                <c:pt idx="54">
                  <c:v>5376.0</c:v>
                </c:pt>
                <c:pt idx="55">
                  <c:v>5376.0</c:v>
                </c:pt>
                <c:pt idx="56">
                  <c:v>5376.0</c:v>
                </c:pt>
                <c:pt idx="57">
                  <c:v>5376.0</c:v>
                </c:pt>
                <c:pt idx="58">
                  <c:v>5376.0</c:v>
                </c:pt>
                <c:pt idx="59">
                  <c:v>5376.0</c:v>
                </c:pt>
                <c:pt idx="60">
                  <c:v>5376.0</c:v>
                </c:pt>
                <c:pt idx="61">
                  <c:v>5376.0</c:v>
                </c:pt>
                <c:pt idx="62">
                  <c:v>5376.0</c:v>
                </c:pt>
                <c:pt idx="63">
                  <c:v>5376.0</c:v>
                </c:pt>
                <c:pt idx="64">
                  <c:v>5376.0</c:v>
                </c:pt>
                <c:pt idx="65">
                  <c:v>5376.0</c:v>
                </c:pt>
                <c:pt idx="66">
                  <c:v>5376.0</c:v>
                </c:pt>
                <c:pt idx="67">
                  <c:v>5376.0</c:v>
                </c:pt>
                <c:pt idx="68">
                  <c:v>5376.0</c:v>
                </c:pt>
                <c:pt idx="69">
                  <c:v>5376.0</c:v>
                </c:pt>
                <c:pt idx="70">
                  <c:v>5376.0</c:v>
                </c:pt>
                <c:pt idx="71">
                  <c:v>5376.0</c:v>
                </c:pt>
                <c:pt idx="72">
                  <c:v>1344.0</c:v>
                </c:pt>
                <c:pt idx="73">
                  <c:v>1344.0</c:v>
                </c:pt>
                <c:pt idx="74">
                  <c:v>1344.0</c:v>
                </c:pt>
                <c:pt idx="75">
                  <c:v>1344.0</c:v>
                </c:pt>
                <c:pt idx="76">
                  <c:v>1344.0</c:v>
                </c:pt>
                <c:pt idx="77">
                  <c:v>1344.0</c:v>
                </c:pt>
                <c:pt idx="78">
                  <c:v>1344.0</c:v>
                </c:pt>
                <c:pt idx="79">
                  <c:v>1344.0</c:v>
                </c:pt>
                <c:pt idx="80">
                  <c:v>1344.0</c:v>
                </c:pt>
                <c:pt idx="81">
                  <c:v>1344.0</c:v>
                </c:pt>
                <c:pt idx="82">
                  <c:v>1344.0</c:v>
                </c:pt>
                <c:pt idx="83">
                  <c:v>1344.0</c:v>
                </c:pt>
                <c:pt idx="84">
                  <c:v>1344.0</c:v>
                </c:pt>
                <c:pt idx="85">
                  <c:v>1344.0</c:v>
                </c:pt>
                <c:pt idx="86">
                  <c:v>1344.0</c:v>
                </c:pt>
                <c:pt idx="87">
                  <c:v>1344.0</c:v>
                </c:pt>
                <c:pt idx="88">
                  <c:v>1344.0</c:v>
                </c:pt>
                <c:pt idx="89">
                  <c:v>1344.0</c:v>
                </c:pt>
                <c:pt idx="90">
                  <c:v>18816.0</c:v>
                </c:pt>
                <c:pt idx="91">
                  <c:v>18816.0</c:v>
                </c:pt>
                <c:pt idx="92">
                  <c:v>18816.0</c:v>
                </c:pt>
                <c:pt idx="93">
                  <c:v>18816.0</c:v>
                </c:pt>
                <c:pt idx="94">
                  <c:v>18816.0</c:v>
                </c:pt>
                <c:pt idx="95">
                  <c:v>18816.0</c:v>
                </c:pt>
                <c:pt idx="96">
                  <c:v>18816.0</c:v>
                </c:pt>
                <c:pt idx="97">
                  <c:v>18816.0</c:v>
                </c:pt>
                <c:pt idx="98">
                  <c:v>18816.0</c:v>
                </c:pt>
                <c:pt idx="99">
                  <c:v>18816.0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956616"/>
        <c:axId val="18874971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29946.91949437329</c:v>
                </c:pt>
                <c:pt idx="1">
                  <c:v>29946.91949437329</c:v>
                </c:pt>
                <c:pt idx="2">
                  <c:v>29946.91949437329</c:v>
                </c:pt>
                <c:pt idx="3">
                  <c:v>29946.91949437329</c:v>
                </c:pt>
                <c:pt idx="4">
                  <c:v>29946.91949437329</c:v>
                </c:pt>
                <c:pt idx="5">
                  <c:v>29946.91949437329</c:v>
                </c:pt>
                <c:pt idx="6">
                  <c:v>29946.91949437329</c:v>
                </c:pt>
                <c:pt idx="7">
                  <c:v>29946.91949437329</c:v>
                </c:pt>
                <c:pt idx="8">
                  <c:v>29946.91949437329</c:v>
                </c:pt>
                <c:pt idx="9">
                  <c:v>29946.91949437329</c:v>
                </c:pt>
                <c:pt idx="10">
                  <c:v>29946.91949437329</c:v>
                </c:pt>
                <c:pt idx="11">
                  <c:v>29946.91949437329</c:v>
                </c:pt>
                <c:pt idx="12">
                  <c:v>29946.91949437329</c:v>
                </c:pt>
                <c:pt idx="13">
                  <c:v>29946.91949437329</c:v>
                </c:pt>
                <c:pt idx="14">
                  <c:v>29946.91949437329</c:v>
                </c:pt>
                <c:pt idx="15">
                  <c:v>29946.91949437329</c:v>
                </c:pt>
                <c:pt idx="16">
                  <c:v>29946.91949437329</c:v>
                </c:pt>
                <c:pt idx="17">
                  <c:v>29946.91949437329</c:v>
                </c:pt>
                <c:pt idx="18">
                  <c:v>29946.91949437329</c:v>
                </c:pt>
                <c:pt idx="19">
                  <c:v>29946.91949437329</c:v>
                </c:pt>
                <c:pt idx="20">
                  <c:v>29946.91949437329</c:v>
                </c:pt>
                <c:pt idx="21">
                  <c:v>29946.91949437329</c:v>
                </c:pt>
                <c:pt idx="22">
                  <c:v>29946.91949437329</c:v>
                </c:pt>
                <c:pt idx="23">
                  <c:v>29946.91949437329</c:v>
                </c:pt>
                <c:pt idx="24">
                  <c:v>29946.91949437329</c:v>
                </c:pt>
                <c:pt idx="25">
                  <c:v>29946.91949437329</c:v>
                </c:pt>
                <c:pt idx="26">
                  <c:v>29946.91949437329</c:v>
                </c:pt>
                <c:pt idx="27">
                  <c:v>29946.91949437329</c:v>
                </c:pt>
                <c:pt idx="28">
                  <c:v>29946.91949437329</c:v>
                </c:pt>
                <c:pt idx="29">
                  <c:v>29946.91949437329</c:v>
                </c:pt>
                <c:pt idx="30">
                  <c:v>29946.91949437329</c:v>
                </c:pt>
                <c:pt idx="31">
                  <c:v>29946.91949437329</c:v>
                </c:pt>
                <c:pt idx="32">
                  <c:v>29946.91949437329</c:v>
                </c:pt>
                <c:pt idx="33">
                  <c:v>29946.91949437329</c:v>
                </c:pt>
                <c:pt idx="34">
                  <c:v>29946.91949437329</c:v>
                </c:pt>
                <c:pt idx="35">
                  <c:v>29946.91949437329</c:v>
                </c:pt>
                <c:pt idx="36">
                  <c:v>29946.91949437329</c:v>
                </c:pt>
                <c:pt idx="37">
                  <c:v>29946.91949437329</c:v>
                </c:pt>
                <c:pt idx="38">
                  <c:v>29946.91949437329</c:v>
                </c:pt>
                <c:pt idx="39">
                  <c:v>29946.91949437329</c:v>
                </c:pt>
                <c:pt idx="40">
                  <c:v>29946.91949437329</c:v>
                </c:pt>
                <c:pt idx="41">
                  <c:v>29946.91949437329</c:v>
                </c:pt>
                <c:pt idx="42">
                  <c:v>29946.91949437329</c:v>
                </c:pt>
                <c:pt idx="43">
                  <c:v>29946.91949437329</c:v>
                </c:pt>
                <c:pt idx="44">
                  <c:v>29946.91949437329</c:v>
                </c:pt>
                <c:pt idx="45">
                  <c:v>29946.91949437329</c:v>
                </c:pt>
                <c:pt idx="46">
                  <c:v>29946.91949437329</c:v>
                </c:pt>
                <c:pt idx="47">
                  <c:v>29946.91949437329</c:v>
                </c:pt>
                <c:pt idx="48">
                  <c:v>29946.91949437329</c:v>
                </c:pt>
                <c:pt idx="49">
                  <c:v>29946.91949437329</c:v>
                </c:pt>
                <c:pt idx="50">
                  <c:v>29946.91949437329</c:v>
                </c:pt>
                <c:pt idx="51">
                  <c:v>29946.91949437329</c:v>
                </c:pt>
                <c:pt idx="52">
                  <c:v>29946.91949437329</c:v>
                </c:pt>
                <c:pt idx="53">
                  <c:v>29946.91949437329</c:v>
                </c:pt>
                <c:pt idx="54">
                  <c:v>29946.91949437329</c:v>
                </c:pt>
                <c:pt idx="55">
                  <c:v>29946.91949437329</c:v>
                </c:pt>
                <c:pt idx="56">
                  <c:v>29946.91949437329</c:v>
                </c:pt>
                <c:pt idx="57">
                  <c:v>29946.91949437329</c:v>
                </c:pt>
                <c:pt idx="58">
                  <c:v>29946.91949437329</c:v>
                </c:pt>
                <c:pt idx="59">
                  <c:v>29946.91949437329</c:v>
                </c:pt>
                <c:pt idx="60">
                  <c:v>29946.91949437329</c:v>
                </c:pt>
                <c:pt idx="61">
                  <c:v>29946.91949437329</c:v>
                </c:pt>
                <c:pt idx="62">
                  <c:v>29946.91949437329</c:v>
                </c:pt>
                <c:pt idx="63">
                  <c:v>29946.91949437329</c:v>
                </c:pt>
                <c:pt idx="64">
                  <c:v>29946.91949437329</c:v>
                </c:pt>
                <c:pt idx="65">
                  <c:v>29946.91949437329</c:v>
                </c:pt>
                <c:pt idx="66">
                  <c:v>29946.91949437329</c:v>
                </c:pt>
                <c:pt idx="67">
                  <c:v>29946.91949437329</c:v>
                </c:pt>
                <c:pt idx="68">
                  <c:v>29946.91949437329</c:v>
                </c:pt>
                <c:pt idx="69">
                  <c:v>29946.91949437329</c:v>
                </c:pt>
                <c:pt idx="70">
                  <c:v>29946.91949437329</c:v>
                </c:pt>
                <c:pt idx="71">
                  <c:v>29946.91949437329</c:v>
                </c:pt>
                <c:pt idx="72">
                  <c:v>29946.91949437329</c:v>
                </c:pt>
                <c:pt idx="73">
                  <c:v>29946.91949437329</c:v>
                </c:pt>
                <c:pt idx="74">
                  <c:v>29946.91949437329</c:v>
                </c:pt>
                <c:pt idx="75">
                  <c:v>29946.91949437329</c:v>
                </c:pt>
                <c:pt idx="76">
                  <c:v>29946.91949437329</c:v>
                </c:pt>
                <c:pt idx="77">
                  <c:v>29946.91949437329</c:v>
                </c:pt>
                <c:pt idx="78">
                  <c:v>29946.91949437329</c:v>
                </c:pt>
                <c:pt idx="79">
                  <c:v>29946.91949437329</c:v>
                </c:pt>
                <c:pt idx="80">
                  <c:v>29946.91949437329</c:v>
                </c:pt>
                <c:pt idx="81">
                  <c:v>29946.91949437329</c:v>
                </c:pt>
                <c:pt idx="82">
                  <c:v>29946.91949437329</c:v>
                </c:pt>
                <c:pt idx="83">
                  <c:v>29946.91949437329</c:v>
                </c:pt>
                <c:pt idx="84">
                  <c:v>29946.91949437329</c:v>
                </c:pt>
                <c:pt idx="85">
                  <c:v>29946.91949437329</c:v>
                </c:pt>
                <c:pt idx="86">
                  <c:v>29946.91949437329</c:v>
                </c:pt>
                <c:pt idx="87">
                  <c:v>29946.91949437329</c:v>
                </c:pt>
                <c:pt idx="88">
                  <c:v>29946.91949437329</c:v>
                </c:pt>
                <c:pt idx="89">
                  <c:v>29946.91949437329</c:v>
                </c:pt>
                <c:pt idx="90">
                  <c:v>29946.91949437329</c:v>
                </c:pt>
                <c:pt idx="91">
                  <c:v>29946.91949437329</c:v>
                </c:pt>
                <c:pt idx="92">
                  <c:v>29946.91949437329</c:v>
                </c:pt>
                <c:pt idx="93">
                  <c:v>29946.91949437329</c:v>
                </c:pt>
                <c:pt idx="94">
                  <c:v>29946.91949437329</c:v>
                </c:pt>
                <c:pt idx="95">
                  <c:v>29946.91949437329</c:v>
                </c:pt>
                <c:pt idx="96">
                  <c:v>29946.91949437329</c:v>
                </c:pt>
                <c:pt idx="97">
                  <c:v>29946.91949437329</c:v>
                </c:pt>
                <c:pt idx="98">
                  <c:v>29946.91949437329</c:v>
                </c:pt>
                <c:pt idx="99">
                  <c:v>29946.91949437329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56616"/>
        <c:axId val="18874971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38776.9489409798</c:v>
                </c:pt>
                <c:pt idx="12">
                  <c:v>39963.84551449606</c:v>
                </c:pt>
                <c:pt idx="13">
                  <c:v>41150.74208801232</c:v>
                </c:pt>
                <c:pt idx="14">
                  <c:v>42337.63866152859</c:v>
                </c:pt>
                <c:pt idx="15">
                  <c:v>43524.53523504484</c:v>
                </c:pt>
                <c:pt idx="16">
                  <c:v>44711.43180856111</c:v>
                </c:pt>
                <c:pt idx="17">
                  <c:v>45898.32838207736</c:v>
                </c:pt>
                <c:pt idx="18">
                  <c:v>47085.22495559363</c:v>
                </c:pt>
                <c:pt idx="19">
                  <c:v>48272.12152910989</c:v>
                </c:pt>
                <c:pt idx="20">
                  <c:v>49459.01810262615</c:v>
                </c:pt>
                <c:pt idx="21">
                  <c:v>50645.9146761424</c:v>
                </c:pt>
                <c:pt idx="22">
                  <c:v>51832.81124965867</c:v>
                </c:pt>
                <c:pt idx="23">
                  <c:v>53019.70782317493</c:v>
                </c:pt>
                <c:pt idx="24">
                  <c:v>54206.60439669119</c:v>
                </c:pt>
                <c:pt idx="25">
                  <c:v>55393.50097020745</c:v>
                </c:pt>
                <c:pt idx="26">
                  <c:v>56580.39754372371</c:v>
                </c:pt>
                <c:pt idx="27">
                  <c:v>57767.29411723997</c:v>
                </c:pt>
                <c:pt idx="28">
                  <c:v>58954.19069075624</c:v>
                </c:pt>
                <c:pt idx="29">
                  <c:v>60141.0872642725</c:v>
                </c:pt>
                <c:pt idx="30">
                  <c:v>61327.98383778875</c:v>
                </c:pt>
                <c:pt idx="31">
                  <c:v>62514.88041130501</c:v>
                </c:pt>
                <c:pt idx="32">
                  <c:v>63701.77698482128</c:v>
                </c:pt>
                <c:pt idx="33">
                  <c:v>64888.67355833753</c:v>
                </c:pt>
                <c:pt idx="34">
                  <c:v>66075.5701318538</c:v>
                </c:pt>
                <c:pt idx="35">
                  <c:v>67262.46670537005</c:v>
                </c:pt>
                <c:pt idx="36">
                  <c:v>68449.36327888631</c:v>
                </c:pt>
                <c:pt idx="37">
                  <c:v>69636.25985240258</c:v>
                </c:pt>
                <c:pt idx="38">
                  <c:v>70823.15642591883</c:v>
                </c:pt>
                <c:pt idx="39">
                  <c:v>72010.0529994351</c:v>
                </c:pt>
                <c:pt idx="40">
                  <c:v>73196.94957295136</c:v>
                </c:pt>
                <c:pt idx="41">
                  <c:v>74383.84614646762</c:v>
                </c:pt>
                <c:pt idx="42">
                  <c:v>75570.74271998389</c:v>
                </c:pt>
                <c:pt idx="43">
                  <c:v>76757.63929350013</c:v>
                </c:pt>
                <c:pt idx="44">
                  <c:v>77944.5358670164</c:v>
                </c:pt>
                <c:pt idx="45">
                  <c:v>79131.43244053266</c:v>
                </c:pt>
                <c:pt idx="46">
                  <c:v>80318.3290140489</c:v>
                </c:pt>
                <c:pt idx="47">
                  <c:v>81651.8346665254</c:v>
                </c:pt>
                <c:pt idx="48">
                  <c:v>83131.94939796207</c:v>
                </c:pt>
                <c:pt idx="49">
                  <c:v>84612.06412939874</c:v>
                </c:pt>
                <c:pt idx="50">
                  <c:v>86092.1788608354</c:v>
                </c:pt>
                <c:pt idx="51">
                  <c:v>87572.29359227211</c:v>
                </c:pt>
                <c:pt idx="52">
                  <c:v>89052.4083237088</c:v>
                </c:pt>
                <c:pt idx="53">
                  <c:v>90532.52305514546</c:v>
                </c:pt>
                <c:pt idx="54">
                  <c:v>92012.63778658214</c:v>
                </c:pt>
                <c:pt idx="55">
                  <c:v>93492.75251801882</c:v>
                </c:pt>
                <c:pt idx="56">
                  <c:v>94972.86724945551</c:v>
                </c:pt>
                <c:pt idx="57">
                  <c:v>96452.98198089219</c:v>
                </c:pt>
                <c:pt idx="58">
                  <c:v>97933.09671232886</c:v>
                </c:pt>
                <c:pt idx="59">
                  <c:v>99413.21144376554</c:v>
                </c:pt>
                <c:pt idx="60">
                  <c:v>100893.3261752022</c:v>
                </c:pt>
                <c:pt idx="61">
                  <c:v>102373.4409066389</c:v>
                </c:pt>
                <c:pt idx="62">
                  <c:v>103853.5556380756</c:v>
                </c:pt>
                <c:pt idx="63">
                  <c:v>105333.6703695123</c:v>
                </c:pt>
                <c:pt idx="64">
                  <c:v>106813.7851009489</c:v>
                </c:pt>
                <c:pt idx="65">
                  <c:v>108293.8998323856</c:v>
                </c:pt>
                <c:pt idx="66">
                  <c:v>109774.0145638223</c:v>
                </c:pt>
                <c:pt idx="67">
                  <c:v>111254.129295259</c:v>
                </c:pt>
                <c:pt idx="68">
                  <c:v>112734.2440266957</c:v>
                </c:pt>
                <c:pt idx="69">
                  <c:v>137397.2101243245</c:v>
                </c:pt>
                <c:pt idx="70">
                  <c:v>162060.1762219533</c:v>
                </c:pt>
                <c:pt idx="71">
                  <c:v>186723.1423195821</c:v>
                </c:pt>
                <c:pt idx="72">
                  <c:v>211386.1084172109</c:v>
                </c:pt>
                <c:pt idx="73">
                  <c:v>236049.0745148397</c:v>
                </c:pt>
                <c:pt idx="74">
                  <c:v>260712.0406124686</c:v>
                </c:pt>
                <c:pt idx="75">
                  <c:v>285375.0067100974</c:v>
                </c:pt>
                <c:pt idx="76">
                  <c:v>310037.9728077262</c:v>
                </c:pt>
                <c:pt idx="77">
                  <c:v>334700.938905355</c:v>
                </c:pt>
                <c:pt idx="78">
                  <c:v>359363.9050029838</c:v>
                </c:pt>
                <c:pt idx="79">
                  <c:v>384026.8711006126</c:v>
                </c:pt>
                <c:pt idx="80">
                  <c:v>408689.8371982414</c:v>
                </c:pt>
                <c:pt idx="81">
                  <c:v>433352.8032958703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56616"/>
        <c:axId val="1887497112"/>
      </c:scatterChart>
      <c:catAx>
        <c:axId val="1875956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7497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87497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59566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1337.545101512585</c:v>
                </c:pt>
                <c:pt idx="1">
                  <c:v>1337.545101512585</c:v>
                </c:pt>
                <c:pt idx="2">
                  <c:v>1337.545101512585</c:v>
                </c:pt>
                <c:pt idx="3">
                  <c:v>1337.545101512585</c:v>
                </c:pt>
                <c:pt idx="4">
                  <c:v>1337.545101512585</c:v>
                </c:pt>
                <c:pt idx="5">
                  <c:v>1337.545101512585</c:v>
                </c:pt>
                <c:pt idx="6">
                  <c:v>1337.545101512585</c:v>
                </c:pt>
                <c:pt idx="7">
                  <c:v>1337.545101512585</c:v>
                </c:pt>
                <c:pt idx="8">
                  <c:v>1337.545101512585</c:v>
                </c:pt>
                <c:pt idx="9">
                  <c:v>1337.545101512585</c:v>
                </c:pt>
                <c:pt idx="10">
                  <c:v>1337.545101512585</c:v>
                </c:pt>
                <c:pt idx="11">
                  <c:v>1337.545101512585</c:v>
                </c:pt>
                <c:pt idx="12">
                  <c:v>1337.545101512585</c:v>
                </c:pt>
                <c:pt idx="13">
                  <c:v>1337.545101512585</c:v>
                </c:pt>
                <c:pt idx="14">
                  <c:v>1337.545101512585</c:v>
                </c:pt>
                <c:pt idx="15">
                  <c:v>1337.545101512585</c:v>
                </c:pt>
                <c:pt idx="16">
                  <c:v>1337.545101512585</c:v>
                </c:pt>
                <c:pt idx="17">
                  <c:v>1337.545101512585</c:v>
                </c:pt>
                <c:pt idx="18">
                  <c:v>1337.545101512585</c:v>
                </c:pt>
                <c:pt idx="19">
                  <c:v>1337.545101512585</c:v>
                </c:pt>
                <c:pt idx="20">
                  <c:v>1337.545101512585</c:v>
                </c:pt>
                <c:pt idx="21">
                  <c:v>1337.545101512585</c:v>
                </c:pt>
                <c:pt idx="22">
                  <c:v>1337.545101512585</c:v>
                </c:pt>
                <c:pt idx="23">
                  <c:v>1337.545101512585</c:v>
                </c:pt>
                <c:pt idx="24">
                  <c:v>1362.274500864078</c:v>
                </c:pt>
                <c:pt idx="25">
                  <c:v>1411.733299567063</c:v>
                </c:pt>
                <c:pt idx="26">
                  <c:v>1461.192098270048</c:v>
                </c:pt>
                <c:pt idx="27">
                  <c:v>1510.650896973033</c:v>
                </c:pt>
                <c:pt idx="28">
                  <c:v>1560.109695676019</c:v>
                </c:pt>
                <c:pt idx="29">
                  <c:v>1609.568494379004</c:v>
                </c:pt>
                <c:pt idx="30">
                  <c:v>1659.02729308199</c:v>
                </c:pt>
                <c:pt idx="31">
                  <c:v>1708.486091784974</c:v>
                </c:pt>
                <c:pt idx="32">
                  <c:v>1757.944890487959</c:v>
                </c:pt>
                <c:pt idx="33">
                  <c:v>1807.403689190945</c:v>
                </c:pt>
                <c:pt idx="34">
                  <c:v>1856.86248789393</c:v>
                </c:pt>
                <c:pt idx="35">
                  <c:v>1906.321286596915</c:v>
                </c:pt>
                <c:pt idx="36">
                  <c:v>1955.7800852999</c:v>
                </c:pt>
                <c:pt idx="37">
                  <c:v>2005.238884002885</c:v>
                </c:pt>
                <c:pt idx="38">
                  <c:v>2054.69768270587</c:v>
                </c:pt>
                <c:pt idx="39">
                  <c:v>2104.156481408856</c:v>
                </c:pt>
                <c:pt idx="40">
                  <c:v>2153.615280111841</c:v>
                </c:pt>
                <c:pt idx="41">
                  <c:v>2203.074078814826</c:v>
                </c:pt>
                <c:pt idx="42">
                  <c:v>2252.532877517811</c:v>
                </c:pt>
                <c:pt idx="43">
                  <c:v>2301.991676220796</c:v>
                </c:pt>
                <c:pt idx="44">
                  <c:v>2351.450474923781</c:v>
                </c:pt>
                <c:pt idx="45">
                  <c:v>2400.909273626767</c:v>
                </c:pt>
                <c:pt idx="46">
                  <c:v>2450.368072329752</c:v>
                </c:pt>
                <c:pt idx="47">
                  <c:v>2499.826871032737</c:v>
                </c:pt>
                <c:pt idx="48">
                  <c:v>2549.285669735722</c:v>
                </c:pt>
                <c:pt idx="49">
                  <c:v>2598.744468438707</c:v>
                </c:pt>
                <c:pt idx="50">
                  <c:v>2648.203267141692</c:v>
                </c:pt>
                <c:pt idx="51">
                  <c:v>2697.662065844677</c:v>
                </c:pt>
                <c:pt idx="52">
                  <c:v>2747.120864547663</c:v>
                </c:pt>
                <c:pt idx="53">
                  <c:v>2796.579663250648</c:v>
                </c:pt>
                <c:pt idx="54">
                  <c:v>2846.038461953633</c:v>
                </c:pt>
                <c:pt idx="55">
                  <c:v>2895.497260656618</c:v>
                </c:pt>
                <c:pt idx="56">
                  <c:v>2944.956059359603</c:v>
                </c:pt>
                <c:pt idx="57">
                  <c:v>2994.414858062589</c:v>
                </c:pt>
                <c:pt idx="58">
                  <c:v>3043.873656765573</c:v>
                </c:pt>
                <c:pt idx="59">
                  <c:v>3093.332455468559</c:v>
                </c:pt>
                <c:pt idx="60">
                  <c:v>3131.469790685313</c:v>
                </c:pt>
                <c:pt idx="61">
                  <c:v>3158.285662415838</c:v>
                </c:pt>
                <c:pt idx="62">
                  <c:v>3185.101534146363</c:v>
                </c:pt>
                <c:pt idx="63">
                  <c:v>3211.917405876887</c:v>
                </c:pt>
                <c:pt idx="64">
                  <c:v>3238.733277607412</c:v>
                </c:pt>
                <c:pt idx="65">
                  <c:v>3265.549149337936</c:v>
                </c:pt>
                <c:pt idx="66">
                  <c:v>3292.365021068461</c:v>
                </c:pt>
                <c:pt idx="67">
                  <c:v>3319.180892798985</c:v>
                </c:pt>
                <c:pt idx="68">
                  <c:v>3345.99676452951</c:v>
                </c:pt>
                <c:pt idx="69">
                  <c:v>3372.812636260034</c:v>
                </c:pt>
                <c:pt idx="70">
                  <c:v>3399.628507990559</c:v>
                </c:pt>
                <c:pt idx="71">
                  <c:v>3426.444379721083</c:v>
                </c:pt>
                <c:pt idx="72">
                  <c:v>3453.260251451608</c:v>
                </c:pt>
                <c:pt idx="73">
                  <c:v>3480.076123182133</c:v>
                </c:pt>
                <c:pt idx="74">
                  <c:v>3506.891994912657</c:v>
                </c:pt>
                <c:pt idx="75">
                  <c:v>3533.707866643182</c:v>
                </c:pt>
                <c:pt idx="76">
                  <c:v>3560.523738373706</c:v>
                </c:pt>
                <c:pt idx="77">
                  <c:v>3587.339610104231</c:v>
                </c:pt>
                <c:pt idx="78">
                  <c:v>3614.155481834755</c:v>
                </c:pt>
                <c:pt idx="79">
                  <c:v>3640.97135356528</c:v>
                </c:pt>
                <c:pt idx="80">
                  <c:v>3667.787225295804</c:v>
                </c:pt>
                <c:pt idx="81">
                  <c:v>3694.603097026329</c:v>
                </c:pt>
                <c:pt idx="82">
                  <c:v>3606.670227661046</c:v>
                </c:pt>
                <c:pt idx="83">
                  <c:v>3518.737358295764</c:v>
                </c:pt>
                <c:pt idx="84">
                  <c:v>3430.804488930482</c:v>
                </c:pt>
                <c:pt idx="85">
                  <c:v>3342.8716195652</c:v>
                </c:pt>
                <c:pt idx="86">
                  <c:v>3254.938750199918</c:v>
                </c:pt>
                <c:pt idx="87">
                  <c:v>3167.005880834636</c:v>
                </c:pt>
                <c:pt idx="88">
                  <c:v>3079.073011469353</c:v>
                </c:pt>
                <c:pt idx="89">
                  <c:v>2991.140142104071</c:v>
                </c:pt>
                <c:pt idx="90">
                  <c:v>2903.20727273879</c:v>
                </c:pt>
                <c:pt idx="91">
                  <c:v>2815.274403373507</c:v>
                </c:pt>
                <c:pt idx="92">
                  <c:v>2727.341534008224</c:v>
                </c:pt>
                <c:pt idx="93">
                  <c:v>2639.408664642942</c:v>
                </c:pt>
                <c:pt idx="94">
                  <c:v>2551.47579527766</c:v>
                </c:pt>
                <c:pt idx="95">
                  <c:v>2463.542925912378</c:v>
                </c:pt>
                <c:pt idx="96">
                  <c:v>2463.542925912378</c:v>
                </c:pt>
                <c:pt idx="97">
                  <c:v>2463.542925912378</c:v>
                </c:pt>
                <c:pt idx="98">
                  <c:v>2463.542925912378</c:v>
                </c:pt>
                <c:pt idx="99">
                  <c:v>2463.542925912378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1115.24</c:v>
                </c:pt>
                <c:pt idx="1">
                  <c:v>1115.24</c:v>
                </c:pt>
                <c:pt idx="2">
                  <c:v>1115.24</c:v>
                </c:pt>
                <c:pt idx="3">
                  <c:v>1115.24</c:v>
                </c:pt>
                <c:pt idx="4">
                  <c:v>1115.24</c:v>
                </c:pt>
                <c:pt idx="5">
                  <c:v>1115.24</c:v>
                </c:pt>
                <c:pt idx="6">
                  <c:v>1115.24</c:v>
                </c:pt>
                <c:pt idx="7">
                  <c:v>1115.24</c:v>
                </c:pt>
                <c:pt idx="8">
                  <c:v>1115.24</c:v>
                </c:pt>
                <c:pt idx="9">
                  <c:v>1115.24</c:v>
                </c:pt>
                <c:pt idx="10">
                  <c:v>1115.24</c:v>
                </c:pt>
                <c:pt idx="11">
                  <c:v>1115.24</c:v>
                </c:pt>
                <c:pt idx="12">
                  <c:v>1115.24</c:v>
                </c:pt>
                <c:pt idx="13">
                  <c:v>1115.24</c:v>
                </c:pt>
                <c:pt idx="14">
                  <c:v>1115.24</c:v>
                </c:pt>
                <c:pt idx="15">
                  <c:v>1115.24</c:v>
                </c:pt>
                <c:pt idx="16">
                  <c:v>1115.24</c:v>
                </c:pt>
                <c:pt idx="17">
                  <c:v>1115.24</c:v>
                </c:pt>
                <c:pt idx="18">
                  <c:v>1115.24</c:v>
                </c:pt>
                <c:pt idx="19">
                  <c:v>1115.24</c:v>
                </c:pt>
                <c:pt idx="20">
                  <c:v>1115.24</c:v>
                </c:pt>
                <c:pt idx="21">
                  <c:v>1115.24</c:v>
                </c:pt>
                <c:pt idx="22">
                  <c:v>1115.24</c:v>
                </c:pt>
                <c:pt idx="23">
                  <c:v>1115.24</c:v>
                </c:pt>
                <c:pt idx="24">
                  <c:v>1141.361666666667</c:v>
                </c:pt>
                <c:pt idx="25">
                  <c:v>1193.605</c:v>
                </c:pt>
                <c:pt idx="26">
                  <c:v>1245.848333333334</c:v>
                </c:pt>
                <c:pt idx="27">
                  <c:v>1298.091666666667</c:v>
                </c:pt>
                <c:pt idx="28">
                  <c:v>1350.335</c:v>
                </c:pt>
                <c:pt idx="29">
                  <c:v>1402.578333333334</c:v>
                </c:pt>
                <c:pt idx="30">
                  <c:v>1454.821666666667</c:v>
                </c:pt>
                <c:pt idx="31">
                  <c:v>1507.065</c:v>
                </c:pt>
                <c:pt idx="32">
                  <c:v>1559.308333333333</c:v>
                </c:pt>
                <c:pt idx="33">
                  <c:v>1611.551666666667</c:v>
                </c:pt>
                <c:pt idx="34">
                  <c:v>1663.795</c:v>
                </c:pt>
                <c:pt idx="35">
                  <c:v>1716.038333333333</c:v>
                </c:pt>
                <c:pt idx="36">
                  <c:v>1768.281666666667</c:v>
                </c:pt>
                <c:pt idx="37">
                  <c:v>1820.525</c:v>
                </c:pt>
                <c:pt idx="38">
                  <c:v>1872.768333333333</c:v>
                </c:pt>
                <c:pt idx="39">
                  <c:v>1925.011666666667</c:v>
                </c:pt>
                <c:pt idx="40">
                  <c:v>1977.255</c:v>
                </c:pt>
                <c:pt idx="41">
                  <c:v>2029.498333333333</c:v>
                </c:pt>
                <c:pt idx="42">
                  <c:v>2081.741666666667</c:v>
                </c:pt>
                <c:pt idx="43">
                  <c:v>2133.985</c:v>
                </c:pt>
                <c:pt idx="44">
                  <c:v>2186.228333333333</c:v>
                </c:pt>
                <c:pt idx="45">
                  <c:v>2238.471666666667</c:v>
                </c:pt>
                <c:pt idx="46">
                  <c:v>2290.715</c:v>
                </c:pt>
                <c:pt idx="47">
                  <c:v>2342.958333333333</c:v>
                </c:pt>
                <c:pt idx="48">
                  <c:v>2395.201666666667</c:v>
                </c:pt>
                <c:pt idx="49">
                  <c:v>2447.445</c:v>
                </c:pt>
                <c:pt idx="50">
                  <c:v>2499.688333333333</c:v>
                </c:pt>
                <c:pt idx="51">
                  <c:v>2551.931666666667</c:v>
                </c:pt>
                <c:pt idx="52">
                  <c:v>2604.175</c:v>
                </c:pt>
                <c:pt idx="53">
                  <c:v>2656.418333333333</c:v>
                </c:pt>
                <c:pt idx="54">
                  <c:v>2708.661666666667</c:v>
                </c:pt>
                <c:pt idx="55">
                  <c:v>2760.905</c:v>
                </c:pt>
                <c:pt idx="56">
                  <c:v>2813.148333333333</c:v>
                </c:pt>
                <c:pt idx="57">
                  <c:v>2865.391666666666</c:v>
                </c:pt>
                <c:pt idx="58">
                  <c:v>2917.635</c:v>
                </c:pt>
                <c:pt idx="59">
                  <c:v>2969.878333333333</c:v>
                </c:pt>
                <c:pt idx="60">
                  <c:v>3066.325581395349</c:v>
                </c:pt>
                <c:pt idx="61">
                  <c:v>3206.976744186047</c:v>
                </c:pt>
                <c:pt idx="62">
                  <c:v>3347.627906976744</c:v>
                </c:pt>
                <c:pt idx="63">
                  <c:v>3488.279069767442</c:v>
                </c:pt>
                <c:pt idx="64">
                  <c:v>3628.93023255814</c:v>
                </c:pt>
                <c:pt idx="65">
                  <c:v>3769.581395348837</c:v>
                </c:pt>
                <c:pt idx="66">
                  <c:v>3910.232558139535</c:v>
                </c:pt>
                <c:pt idx="67">
                  <c:v>4050.883720930233</c:v>
                </c:pt>
                <c:pt idx="68">
                  <c:v>4191.53488372093</c:v>
                </c:pt>
                <c:pt idx="69">
                  <c:v>4332.186046511627</c:v>
                </c:pt>
                <c:pt idx="70">
                  <c:v>4472.837209302325</c:v>
                </c:pt>
                <c:pt idx="71">
                  <c:v>4613.488372093023</c:v>
                </c:pt>
                <c:pt idx="72">
                  <c:v>4754.13953488372</c:v>
                </c:pt>
                <c:pt idx="73">
                  <c:v>4894.790697674419</c:v>
                </c:pt>
                <c:pt idx="74">
                  <c:v>5035.441860465116</c:v>
                </c:pt>
                <c:pt idx="75">
                  <c:v>5176.093023255813</c:v>
                </c:pt>
                <c:pt idx="76">
                  <c:v>5316.744186046511</c:v>
                </c:pt>
                <c:pt idx="77">
                  <c:v>5457.39534883721</c:v>
                </c:pt>
                <c:pt idx="78">
                  <c:v>5598.046511627906</c:v>
                </c:pt>
                <c:pt idx="79">
                  <c:v>5738.697674418604</c:v>
                </c:pt>
                <c:pt idx="80">
                  <c:v>5879.348837209302</c:v>
                </c:pt>
                <c:pt idx="81">
                  <c:v>6020.0</c:v>
                </c:pt>
                <c:pt idx="82">
                  <c:v>6698.333333333333</c:v>
                </c:pt>
                <c:pt idx="83">
                  <c:v>7376.666666666666</c:v>
                </c:pt>
                <c:pt idx="84">
                  <c:v>8055.0</c:v>
                </c:pt>
                <c:pt idx="85">
                  <c:v>8733.333333333332</c:v>
                </c:pt>
                <c:pt idx="86">
                  <c:v>9411.666666666666</c:v>
                </c:pt>
                <c:pt idx="87">
                  <c:v>10090.0</c:v>
                </c:pt>
                <c:pt idx="88">
                  <c:v>10768.33333333333</c:v>
                </c:pt>
                <c:pt idx="89">
                  <c:v>11446.66666666667</c:v>
                </c:pt>
                <c:pt idx="90">
                  <c:v>12125.0</c:v>
                </c:pt>
                <c:pt idx="91">
                  <c:v>12803.33333333333</c:v>
                </c:pt>
                <c:pt idx="92">
                  <c:v>13481.66666666667</c:v>
                </c:pt>
                <c:pt idx="93">
                  <c:v>14160.0</c:v>
                </c:pt>
                <c:pt idx="94">
                  <c:v>14838.33333333333</c:v>
                </c:pt>
                <c:pt idx="95">
                  <c:v>15516.66666666667</c:v>
                </c:pt>
                <c:pt idx="96">
                  <c:v>15516.66666666667</c:v>
                </c:pt>
                <c:pt idx="97">
                  <c:v>15516.66666666667</c:v>
                </c:pt>
                <c:pt idx="98">
                  <c:v>15516.66666666667</c:v>
                </c:pt>
                <c:pt idx="99">
                  <c:v>15516.66666666667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2.475551945155704</c:v>
                </c:pt>
                <c:pt idx="25">
                  <c:v>7.426655835467112</c:v>
                </c:pt>
                <c:pt idx="26">
                  <c:v>12.37775972577852</c:v>
                </c:pt>
                <c:pt idx="27">
                  <c:v>17.32886361608993</c:v>
                </c:pt>
                <c:pt idx="28">
                  <c:v>22.27996750640133</c:v>
                </c:pt>
                <c:pt idx="29">
                  <c:v>27.23107139671274</c:v>
                </c:pt>
                <c:pt idx="30">
                  <c:v>32.18217528702415</c:v>
                </c:pt>
                <c:pt idx="31">
                  <c:v>37.13327917733555</c:v>
                </c:pt>
                <c:pt idx="32">
                  <c:v>42.08438306764697</c:v>
                </c:pt>
                <c:pt idx="33">
                  <c:v>47.03548695795837</c:v>
                </c:pt>
                <c:pt idx="34">
                  <c:v>51.98659084826978</c:v>
                </c:pt>
                <c:pt idx="35">
                  <c:v>56.93769473858119</c:v>
                </c:pt>
                <c:pt idx="36">
                  <c:v>61.8887986288926</c:v>
                </c:pt>
                <c:pt idx="37">
                  <c:v>66.839902519204</c:v>
                </c:pt>
                <c:pt idx="38">
                  <c:v>71.7910064095154</c:v>
                </c:pt>
                <c:pt idx="39">
                  <c:v>76.74211029982681</c:v>
                </c:pt>
                <c:pt idx="40">
                  <c:v>81.69321419013823</c:v>
                </c:pt>
                <c:pt idx="41">
                  <c:v>86.64431808044964</c:v>
                </c:pt>
                <c:pt idx="42">
                  <c:v>91.59542197076104</c:v>
                </c:pt>
                <c:pt idx="43">
                  <c:v>96.54652586107243</c:v>
                </c:pt>
                <c:pt idx="44">
                  <c:v>101.4976297513839</c:v>
                </c:pt>
                <c:pt idx="45">
                  <c:v>106.4487336416953</c:v>
                </c:pt>
                <c:pt idx="46">
                  <c:v>111.3998375320067</c:v>
                </c:pt>
                <c:pt idx="47">
                  <c:v>116.3509414223181</c:v>
                </c:pt>
                <c:pt idx="48">
                  <c:v>121.3020453126295</c:v>
                </c:pt>
                <c:pt idx="49">
                  <c:v>126.253149202941</c:v>
                </c:pt>
                <c:pt idx="50">
                  <c:v>131.2042530932523</c:v>
                </c:pt>
                <c:pt idx="51">
                  <c:v>136.1553569835637</c:v>
                </c:pt>
                <c:pt idx="52">
                  <c:v>141.1064608738751</c:v>
                </c:pt>
                <c:pt idx="53">
                  <c:v>146.0575647641865</c:v>
                </c:pt>
                <c:pt idx="54">
                  <c:v>151.008668654498</c:v>
                </c:pt>
                <c:pt idx="55">
                  <c:v>155.9597725448093</c:v>
                </c:pt>
                <c:pt idx="56">
                  <c:v>160.9108764351207</c:v>
                </c:pt>
                <c:pt idx="57">
                  <c:v>165.8619803254322</c:v>
                </c:pt>
                <c:pt idx="58">
                  <c:v>170.8130842157435</c:v>
                </c:pt>
                <c:pt idx="59">
                  <c:v>175.764188106055</c:v>
                </c:pt>
                <c:pt idx="60">
                  <c:v>183.4281497838676</c:v>
                </c:pt>
                <c:pt idx="61">
                  <c:v>193.8049692491816</c:v>
                </c:pt>
                <c:pt idx="62">
                  <c:v>204.1817887144955</c:v>
                </c:pt>
                <c:pt idx="63">
                  <c:v>214.5586081798094</c:v>
                </c:pt>
                <c:pt idx="64">
                  <c:v>224.9354276451233</c:v>
                </c:pt>
                <c:pt idx="65">
                  <c:v>235.3122471104372</c:v>
                </c:pt>
                <c:pt idx="66">
                  <c:v>245.6890665757512</c:v>
                </c:pt>
                <c:pt idx="67">
                  <c:v>256.0658860410651</c:v>
                </c:pt>
                <c:pt idx="68">
                  <c:v>266.442705506379</c:v>
                </c:pt>
                <c:pt idx="69">
                  <c:v>276.8195249716929</c:v>
                </c:pt>
                <c:pt idx="70">
                  <c:v>287.1963444370069</c:v>
                </c:pt>
                <c:pt idx="71">
                  <c:v>297.5731639023208</c:v>
                </c:pt>
                <c:pt idx="72">
                  <c:v>307.9499833676347</c:v>
                </c:pt>
                <c:pt idx="73">
                  <c:v>318.3268028329486</c:v>
                </c:pt>
                <c:pt idx="74">
                  <c:v>328.7036222982625</c:v>
                </c:pt>
                <c:pt idx="75">
                  <c:v>339.0804417635765</c:v>
                </c:pt>
                <c:pt idx="76">
                  <c:v>349.4572612288904</c:v>
                </c:pt>
                <c:pt idx="77">
                  <c:v>359.8340806942043</c:v>
                </c:pt>
                <c:pt idx="78">
                  <c:v>370.2109001595182</c:v>
                </c:pt>
                <c:pt idx="79">
                  <c:v>380.5877196248322</c:v>
                </c:pt>
                <c:pt idx="80">
                  <c:v>390.9645390901461</c:v>
                </c:pt>
                <c:pt idx="81">
                  <c:v>401.34135855546</c:v>
                </c:pt>
                <c:pt idx="82">
                  <c:v>493.5067451312826</c:v>
                </c:pt>
                <c:pt idx="83">
                  <c:v>585.672131707105</c:v>
                </c:pt>
                <c:pt idx="84">
                  <c:v>677.8375182829277</c:v>
                </c:pt>
                <c:pt idx="85">
                  <c:v>770.0029048587503</c:v>
                </c:pt>
                <c:pt idx="86">
                  <c:v>862.1682914345729</c:v>
                </c:pt>
                <c:pt idx="87">
                  <c:v>954.3336780103953</c:v>
                </c:pt>
                <c:pt idx="88">
                  <c:v>1046.499064586218</c:v>
                </c:pt>
                <c:pt idx="89">
                  <c:v>1138.664451162041</c:v>
                </c:pt>
                <c:pt idx="90">
                  <c:v>1230.829837737863</c:v>
                </c:pt>
                <c:pt idx="91">
                  <c:v>1322.995224313686</c:v>
                </c:pt>
                <c:pt idx="92">
                  <c:v>1415.160610889508</c:v>
                </c:pt>
                <c:pt idx="93">
                  <c:v>1507.325997465331</c:v>
                </c:pt>
                <c:pt idx="94">
                  <c:v>1599.491384041153</c:v>
                </c:pt>
                <c:pt idx="95">
                  <c:v>1691.656770616976</c:v>
                </c:pt>
                <c:pt idx="96">
                  <c:v>1691.656770616976</c:v>
                </c:pt>
                <c:pt idx="97">
                  <c:v>1691.656770616976</c:v>
                </c:pt>
                <c:pt idx="98">
                  <c:v>1691.656770616976</c:v>
                </c:pt>
                <c:pt idx="99">
                  <c:v>1691.656770616976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31.11111111111111</c:v>
                </c:pt>
                <c:pt idx="25">
                  <c:v>93.33333333333333</c:v>
                </c:pt>
                <c:pt idx="26">
                  <c:v>155.5555555555555</c:v>
                </c:pt>
                <c:pt idx="27">
                  <c:v>217.7777777777778</c:v>
                </c:pt>
                <c:pt idx="28">
                  <c:v>280.0</c:v>
                </c:pt>
                <c:pt idx="29">
                  <c:v>342.2222222222222</c:v>
                </c:pt>
                <c:pt idx="30">
                  <c:v>404.4444444444445</c:v>
                </c:pt>
                <c:pt idx="31">
                  <c:v>466.6666666666666</c:v>
                </c:pt>
                <c:pt idx="32">
                  <c:v>528.888888888889</c:v>
                </c:pt>
                <c:pt idx="33">
                  <c:v>591.1111111111111</c:v>
                </c:pt>
                <c:pt idx="34">
                  <c:v>653.3333333333333</c:v>
                </c:pt>
                <c:pt idx="35">
                  <c:v>715.5555555555555</c:v>
                </c:pt>
                <c:pt idx="36">
                  <c:v>777.7777777777778</c:v>
                </c:pt>
                <c:pt idx="37">
                  <c:v>840.0</c:v>
                </c:pt>
                <c:pt idx="38">
                  <c:v>902.2222222222222</c:v>
                </c:pt>
                <c:pt idx="39">
                  <c:v>964.4444444444445</c:v>
                </c:pt>
                <c:pt idx="40">
                  <c:v>1026.666666666667</c:v>
                </c:pt>
                <c:pt idx="41">
                  <c:v>1088.888888888889</c:v>
                </c:pt>
                <c:pt idx="42">
                  <c:v>1151.111111111111</c:v>
                </c:pt>
                <c:pt idx="43">
                  <c:v>1213.333333333333</c:v>
                </c:pt>
                <c:pt idx="44">
                  <c:v>1275.555555555556</c:v>
                </c:pt>
                <c:pt idx="45">
                  <c:v>1337.777777777778</c:v>
                </c:pt>
                <c:pt idx="46">
                  <c:v>1400.0</c:v>
                </c:pt>
                <c:pt idx="47">
                  <c:v>1462.222222222222</c:v>
                </c:pt>
                <c:pt idx="48">
                  <c:v>1524.444444444444</c:v>
                </c:pt>
                <c:pt idx="49">
                  <c:v>1586.666666666667</c:v>
                </c:pt>
                <c:pt idx="50">
                  <c:v>1648.888888888889</c:v>
                </c:pt>
                <c:pt idx="51">
                  <c:v>1711.111111111111</c:v>
                </c:pt>
                <c:pt idx="52">
                  <c:v>1773.333333333333</c:v>
                </c:pt>
                <c:pt idx="53">
                  <c:v>1835.555555555556</c:v>
                </c:pt>
                <c:pt idx="54">
                  <c:v>1897.777777777778</c:v>
                </c:pt>
                <c:pt idx="55">
                  <c:v>1960.0</c:v>
                </c:pt>
                <c:pt idx="56">
                  <c:v>2022.222222222222</c:v>
                </c:pt>
                <c:pt idx="57">
                  <c:v>2084.444444444444</c:v>
                </c:pt>
                <c:pt idx="58">
                  <c:v>2146.666666666667</c:v>
                </c:pt>
                <c:pt idx="59">
                  <c:v>2208.888888888889</c:v>
                </c:pt>
                <c:pt idx="60">
                  <c:v>2417.116279069768</c:v>
                </c:pt>
                <c:pt idx="61">
                  <c:v>2771.348837209302</c:v>
                </c:pt>
                <c:pt idx="62">
                  <c:v>3125.581395348837</c:v>
                </c:pt>
                <c:pt idx="63">
                  <c:v>3479.813953488372</c:v>
                </c:pt>
                <c:pt idx="64">
                  <c:v>3834.046511627907</c:v>
                </c:pt>
                <c:pt idx="65">
                  <c:v>4188.279069767441</c:v>
                </c:pt>
                <c:pt idx="66">
                  <c:v>4542.511627906977</c:v>
                </c:pt>
                <c:pt idx="67">
                  <c:v>4896.744186046511</c:v>
                </c:pt>
                <c:pt idx="68">
                  <c:v>5250.976744186046</c:v>
                </c:pt>
                <c:pt idx="69">
                  <c:v>5605.209302325582</c:v>
                </c:pt>
                <c:pt idx="70">
                  <c:v>5959.441860465116</c:v>
                </c:pt>
                <c:pt idx="71">
                  <c:v>6313.674418604651</c:v>
                </c:pt>
                <c:pt idx="72">
                  <c:v>6667.906976744186</c:v>
                </c:pt>
                <c:pt idx="73">
                  <c:v>7022.13953488372</c:v>
                </c:pt>
                <c:pt idx="74">
                  <c:v>7376.372093023256</c:v>
                </c:pt>
                <c:pt idx="75">
                  <c:v>7730.60465116279</c:v>
                </c:pt>
                <c:pt idx="76">
                  <c:v>8084.837209302325</c:v>
                </c:pt>
                <c:pt idx="77">
                  <c:v>8439.06976744186</c:v>
                </c:pt>
                <c:pt idx="78">
                  <c:v>8793.302325581395</c:v>
                </c:pt>
                <c:pt idx="79">
                  <c:v>9147.534883720931</c:v>
                </c:pt>
                <c:pt idx="80">
                  <c:v>9501.767441860465</c:v>
                </c:pt>
                <c:pt idx="81">
                  <c:v>9856.0</c:v>
                </c:pt>
                <c:pt idx="82">
                  <c:v>11499.33333333333</c:v>
                </c:pt>
                <c:pt idx="83">
                  <c:v>13142.66666666667</c:v>
                </c:pt>
                <c:pt idx="84">
                  <c:v>14786.0</c:v>
                </c:pt>
                <c:pt idx="85">
                  <c:v>16429.33333333333</c:v>
                </c:pt>
                <c:pt idx="86">
                  <c:v>18072.66666666666</c:v>
                </c:pt>
                <c:pt idx="87">
                  <c:v>19716.0</c:v>
                </c:pt>
                <c:pt idx="88">
                  <c:v>21359.33333333333</c:v>
                </c:pt>
                <c:pt idx="89">
                  <c:v>23002.66666666666</c:v>
                </c:pt>
                <c:pt idx="90">
                  <c:v>24646.0</c:v>
                </c:pt>
                <c:pt idx="91">
                  <c:v>26289.33333333333</c:v>
                </c:pt>
                <c:pt idx="92">
                  <c:v>27932.66666666666</c:v>
                </c:pt>
                <c:pt idx="93">
                  <c:v>29576.0</c:v>
                </c:pt>
                <c:pt idx="94">
                  <c:v>31219.33333333333</c:v>
                </c:pt>
                <c:pt idx="95">
                  <c:v>32862.66666666666</c:v>
                </c:pt>
                <c:pt idx="96">
                  <c:v>32862.66666666666</c:v>
                </c:pt>
                <c:pt idx="97">
                  <c:v>32862.66666666666</c:v>
                </c:pt>
                <c:pt idx="98">
                  <c:v>32862.66666666666</c:v>
                </c:pt>
                <c:pt idx="99">
                  <c:v>32862.66666666666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1390.24619675518</c:v>
                </c:pt>
                <c:pt idx="1">
                  <c:v>1390.24619675518</c:v>
                </c:pt>
                <c:pt idx="2">
                  <c:v>1390.24619675518</c:v>
                </c:pt>
                <c:pt idx="3">
                  <c:v>1390.24619675518</c:v>
                </c:pt>
                <c:pt idx="4">
                  <c:v>1390.24619675518</c:v>
                </c:pt>
                <c:pt idx="5">
                  <c:v>1390.24619675518</c:v>
                </c:pt>
                <c:pt idx="6">
                  <c:v>1390.24619675518</c:v>
                </c:pt>
                <c:pt idx="7">
                  <c:v>1390.24619675518</c:v>
                </c:pt>
                <c:pt idx="8">
                  <c:v>1390.24619675518</c:v>
                </c:pt>
                <c:pt idx="9">
                  <c:v>1390.24619675518</c:v>
                </c:pt>
                <c:pt idx="10">
                  <c:v>1390.24619675518</c:v>
                </c:pt>
                <c:pt idx="11">
                  <c:v>1390.24619675518</c:v>
                </c:pt>
                <c:pt idx="12">
                  <c:v>1390.24619675518</c:v>
                </c:pt>
                <c:pt idx="13">
                  <c:v>1390.24619675518</c:v>
                </c:pt>
                <c:pt idx="14">
                  <c:v>1390.24619675518</c:v>
                </c:pt>
                <c:pt idx="15">
                  <c:v>1390.24619675518</c:v>
                </c:pt>
                <c:pt idx="16">
                  <c:v>1390.24619675518</c:v>
                </c:pt>
                <c:pt idx="17">
                  <c:v>1390.24619675518</c:v>
                </c:pt>
                <c:pt idx="18">
                  <c:v>1390.24619675518</c:v>
                </c:pt>
                <c:pt idx="19">
                  <c:v>1390.24619675518</c:v>
                </c:pt>
                <c:pt idx="20">
                  <c:v>1390.24619675518</c:v>
                </c:pt>
                <c:pt idx="21">
                  <c:v>1390.24619675518</c:v>
                </c:pt>
                <c:pt idx="22">
                  <c:v>1390.24619675518</c:v>
                </c:pt>
                <c:pt idx="23">
                  <c:v>1390.24619675518</c:v>
                </c:pt>
                <c:pt idx="24">
                  <c:v>1407.181666244691</c:v>
                </c:pt>
                <c:pt idx="25">
                  <c:v>1441.052605223714</c:v>
                </c:pt>
                <c:pt idx="26">
                  <c:v>1474.923544202737</c:v>
                </c:pt>
                <c:pt idx="27">
                  <c:v>1508.794483181759</c:v>
                </c:pt>
                <c:pt idx="28">
                  <c:v>1542.665422160782</c:v>
                </c:pt>
                <c:pt idx="29">
                  <c:v>1576.536361139805</c:v>
                </c:pt>
                <c:pt idx="30">
                  <c:v>1610.407300118828</c:v>
                </c:pt>
                <c:pt idx="31">
                  <c:v>1644.278239097851</c:v>
                </c:pt>
                <c:pt idx="32">
                  <c:v>1678.149178076874</c:v>
                </c:pt>
                <c:pt idx="33">
                  <c:v>1712.020117055896</c:v>
                </c:pt>
                <c:pt idx="34">
                  <c:v>1745.891056034919</c:v>
                </c:pt>
                <c:pt idx="35">
                  <c:v>1779.761995013942</c:v>
                </c:pt>
                <c:pt idx="36">
                  <c:v>1813.632933992965</c:v>
                </c:pt>
                <c:pt idx="37">
                  <c:v>1847.503872971988</c:v>
                </c:pt>
                <c:pt idx="38">
                  <c:v>1881.37481195101</c:v>
                </c:pt>
                <c:pt idx="39">
                  <c:v>1915.245750930033</c:v>
                </c:pt>
                <c:pt idx="40">
                  <c:v>1949.116689909056</c:v>
                </c:pt>
                <c:pt idx="41">
                  <c:v>1982.987628888079</c:v>
                </c:pt>
                <c:pt idx="42">
                  <c:v>2016.858567867102</c:v>
                </c:pt>
                <c:pt idx="43">
                  <c:v>2050.729506846124</c:v>
                </c:pt>
                <c:pt idx="44">
                  <c:v>2084.600445825147</c:v>
                </c:pt>
                <c:pt idx="45">
                  <c:v>2118.47138480417</c:v>
                </c:pt>
                <c:pt idx="46">
                  <c:v>2152.342323783193</c:v>
                </c:pt>
                <c:pt idx="47">
                  <c:v>2186.213262762216</c:v>
                </c:pt>
                <c:pt idx="48">
                  <c:v>2220.084201741239</c:v>
                </c:pt>
                <c:pt idx="49">
                  <c:v>2253.955140720261</c:v>
                </c:pt>
                <c:pt idx="50">
                  <c:v>2287.826079699284</c:v>
                </c:pt>
                <c:pt idx="51">
                  <c:v>2321.697018678307</c:v>
                </c:pt>
                <c:pt idx="52">
                  <c:v>2355.56795765733</c:v>
                </c:pt>
                <c:pt idx="53">
                  <c:v>2389.438896636353</c:v>
                </c:pt>
                <c:pt idx="54">
                  <c:v>2423.309835615375</c:v>
                </c:pt>
                <c:pt idx="55">
                  <c:v>2457.180774594398</c:v>
                </c:pt>
                <c:pt idx="56">
                  <c:v>2491.05171357342</c:v>
                </c:pt>
                <c:pt idx="57">
                  <c:v>2524.922652552443</c:v>
                </c:pt>
                <c:pt idx="58">
                  <c:v>2558.793591531466</c:v>
                </c:pt>
                <c:pt idx="59">
                  <c:v>2592.66453051049</c:v>
                </c:pt>
                <c:pt idx="60">
                  <c:v>2548.911627906978</c:v>
                </c:pt>
                <c:pt idx="61">
                  <c:v>2427.534883720931</c:v>
                </c:pt>
                <c:pt idx="62">
                  <c:v>2306.158139534884</c:v>
                </c:pt>
                <c:pt idx="63">
                  <c:v>2184.781395348838</c:v>
                </c:pt>
                <c:pt idx="64">
                  <c:v>2063.404651162791</c:v>
                </c:pt>
                <c:pt idx="65">
                  <c:v>1942.027906976745</c:v>
                </c:pt>
                <c:pt idx="66">
                  <c:v>1820.651162790698</c:v>
                </c:pt>
                <c:pt idx="67">
                  <c:v>1699.274418604652</c:v>
                </c:pt>
                <c:pt idx="68">
                  <c:v>1577.897674418605</c:v>
                </c:pt>
                <c:pt idx="69">
                  <c:v>1456.520930232559</c:v>
                </c:pt>
                <c:pt idx="70">
                  <c:v>1335.144186046512</c:v>
                </c:pt>
                <c:pt idx="71">
                  <c:v>1213.767441860466</c:v>
                </c:pt>
                <c:pt idx="72">
                  <c:v>1092.39069767442</c:v>
                </c:pt>
                <c:pt idx="73">
                  <c:v>971.0139534883724</c:v>
                </c:pt>
                <c:pt idx="74">
                  <c:v>849.6372093023258</c:v>
                </c:pt>
                <c:pt idx="75">
                  <c:v>728.2604651162794</c:v>
                </c:pt>
                <c:pt idx="76">
                  <c:v>606.8837209302325</c:v>
                </c:pt>
                <c:pt idx="77">
                  <c:v>485.506976744186</c:v>
                </c:pt>
                <c:pt idx="78">
                  <c:v>364.1302325581396</c:v>
                </c:pt>
                <c:pt idx="79">
                  <c:v>242.7534883720928</c:v>
                </c:pt>
                <c:pt idx="80">
                  <c:v>121.3767441860464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8019.21546961326</c:v>
                </c:pt>
                <c:pt idx="1">
                  <c:v>8019.21546961326</c:v>
                </c:pt>
                <c:pt idx="2">
                  <c:v>8019.21546961326</c:v>
                </c:pt>
                <c:pt idx="3">
                  <c:v>8019.21546961326</c:v>
                </c:pt>
                <c:pt idx="4">
                  <c:v>8019.21546961326</c:v>
                </c:pt>
                <c:pt idx="5">
                  <c:v>8019.21546961326</c:v>
                </c:pt>
                <c:pt idx="6">
                  <c:v>8019.21546961326</c:v>
                </c:pt>
                <c:pt idx="7">
                  <c:v>8019.21546961326</c:v>
                </c:pt>
                <c:pt idx="8">
                  <c:v>8019.21546961326</c:v>
                </c:pt>
                <c:pt idx="9">
                  <c:v>8019.21546961326</c:v>
                </c:pt>
                <c:pt idx="10">
                  <c:v>8019.21546961326</c:v>
                </c:pt>
                <c:pt idx="11">
                  <c:v>8019.21546961326</c:v>
                </c:pt>
                <c:pt idx="12">
                  <c:v>8019.21546961326</c:v>
                </c:pt>
                <c:pt idx="13">
                  <c:v>8019.21546961326</c:v>
                </c:pt>
                <c:pt idx="14">
                  <c:v>8019.21546961326</c:v>
                </c:pt>
                <c:pt idx="15">
                  <c:v>8019.21546961326</c:v>
                </c:pt>
                <c:pt idx="16">
                  <c:v>8019.21546961326</c:v>
                </c:pt>
                <c:pt idx="17">
                  <c:v>8019.21546961326</c:v>
                </c:pt>
                <c:pt idx="18">
                  <c:v>8019.21546961326</c:v>
                </c:pt>
                <c:pt idx="19">
                  <c:v>8019.21546961326</c:v>
                </c:pt>
                <c:pt idx="20">
                  <c:v>8019.21546961326</c:v>
                </c:pt>
                <c:pt idx="21">
                  <c:v>8019.21546961326</c:v>
                </c:pt>
                <c:pt idx="22">
                  <c:v>8019.21546961326</c:v>
                </c:pt>
                <c:pt idx="23">
                  <c:v>8019.21546961326</c:v>
                </c:pt>
                <c:pt idx="24">
                  <c:v>8135.360681399632</c:v>
                </c:pt>
                <c:pt idx="25">
                  <c:v>8367.651104972376</c:v>
                </c:pt>
                <c:pt idx="26">
                  <c:v>8599.94152854512</c:v>
                </c:pt>
                <c:pt idx="27">
                  <c:v>8832.231952117865</c:v>
                </c:pt>
                <c:pt idx="28">
                  <c:v>9064.522375690609</c:v>
                </c:pt>
                <c:pt idx="29">
                  <c:v>9296.812799263353</c:v>
                </c:pt>
                <c:pt idx="30">
                  <c:v>9529.103222836096</c:v>
                </c:pt>
                <c:pt idx="31">
                  <c:v>9761.39364640884</c:v>
                </c:pt>
                <c:pt idx="32">
                  <c:v>9993.684069981585</c:v>
                </c:pt>
                <c:pt idx="33">
                  <c:v>10225.97449355433</c:v>
                </c:pt>
                <c:pt idx="34">
                  <c:v>10458.26491712707</c:v>
                </c:pt>
                <c:pt idx="35">
                  <c:v>10690.55534069982</c:v>
                </c:pt>
                <c:pt idx="36">
                  <c:v>10922.84576427256</c:v>
                </c:pt>
                <c:pt idx="37">
                  <c:v>11155.13618784531</c:v>
                </c:pt>
                <c:pt idx="38">
                  <c:v>11387.42661141805</c:v>
                </c:pt>
                <c:pt idx="39">
                  <c:v>11619.71703499079</c:v>
                </c:pt>
                <c:pt idx="40">
                  <c:v>11852.00745856354</c:v>
                </c:pt>
                <c:pt idx="41">
                  <c:v>12084.29788213628</c:v>
                </c:pt>
                <c:pt idx="42">
                  <c:v>12316.58830570903</c:v>
                </c:pt>
                <c:pt idx="43">
                  <c:v>12548.87872928177</c:v>
                </c:pt>
                <c:pt idx="44">
                  <c:v>12781.16915285451</c:v>
                </c:pt>
                <c:pt idx="45">
                  <c:v>13013.45957642726</c:v>
                </c:pt>
                <c:pt idx="46">
                  <c:v>13245.75</c:v>
                </c:pt>
                <c:pt idx="47">
                  <c:v>13478.04042357275</c:v>
                </c:pt>
                <c:pt idx="48">
                  <c:v>13710.3308471455</c:v>
                </c:pt>
                <c:pt idx="49">
                  <c:v>13942.62127071823</c:v>
                </c:pt>
                <c:pt idx="50">
                  <c:v>14174.91169429098</c:v>
                </c:pt>
                <c:pt idx="51">
                  <c:v>14407.20211786372</c:v>
                </c:pt>
                <c:pt idx="52">
                  <c:v>14639.49254143647</c:v>
                </c:pt>
                <c:pt idx="53">
                  <c:v>14871.78296500921</c:v>
                </c:pt>
                <c:pt idx="54">
                  <c:v>15104.07338858196</c:v>
                </c:pt>
                <c:pt idx="55">
                  <c:v>15336.3638121547</c:v>
                </c:pt>
                <c:pt idx="56">
                  <c:v>15568.65423572744</c:v>
                </c:pt>
                <c:pt idx="57">
                  <c:v>15800.94465930019</c:v>
                </c:pt>
                <c:pt idx="58">
                  <c:v>16033.23508287293</c:v>
                </c:pt>
                <c:pt idx="59">
                  <c:v>16265.52550644568</c:v>
                </c:pt>
                <c:pt idx="60">
                  <c:v>16021.59640241553</c:v>
                </c:pt>
                <c:pt idx="61">
                  <c:v>15301.44777078248</c:v>
                </c:pt>
                <c:pt idx="62">
                  <c:v>14581.29913914943</c:v>
                </c:pt>
                <c:pt idx="63">
                  <c:v>13861.15050751638</c:v>
                </c:pt>
                <c:pt idx="64">
                  <c:v>13141.00187588334</c:v>
                </c:pt>
                <c:pt idx="65">
                  <c:v>12420.85324425029</c:v>
                </c:pt>
                <c:pt idx="66">
                  <c:v>11700.70461261724</c:v>
                </c:pt>
                <c:pt idx="67">
                  <c:v>10980.5559809842</c:v>
                </c:pt>
                <c:pt idx="68">
                  <c:v>10260.40734935115</c:v>
                </c:pt>
                <c:pt idx="69">
                  <c:v>9540.258717718104</c:v>
                </c:pt>
                <c:pt idx="70">
                  <c:v>8820.110086085058</c:v>
                </c:pt>
                <c:pt idx="71">
                  <c:v>8099.961454452011</c:v>
                </c:pt>
                <c:pt idx="72">
                  <c:v>7379.812822818965</c:v>
                </c:pt>
                <c:pt idx="73">
                  <c:v>6659.664191185918</c:v>
                </c:pt>
                <c:pt idx="74">
                  <c:v>5939.515559552872</c:v>
                </c:pt>
                <c:pt idx="75">
                  <c:v>5219.366927919825</c:v>
                </c:pt>
                <c:pt idx="76">
                  <c:v>4499.21829628678</c:v>
                </c:pt>
                <c:pt idx="77">
                  <c:v>3779.069664653733</c:v>
                </c:pt>
                <c:pt idx="78">
                  <c:v>3058.921033020686</c:v>
                </c:pt>
                <c:pt idx="79">
                  <c:v>2338.772401387641</c:v>
                </c:pt>
                <c:pt idx="80">
                  <c:v>1618.623769754593</c:v>
                </c:pt>
                <c:pt idx="81">
                  <c:v>898.4751381215464</c:v>
                </c:pt>
                <c:pt idx="82">
                  <c:v>834.2983425414365</c:v>
                </c:pt>
                <c:pt idx="83">
                  <c:v>770.121546961326</c:v>
                </c:pt>
                <c:pt idx="84">
                  <c:v>705.9447513812155</c:v>
                </c:pt>
                <c:pt idx="85">
                  <c:v>641.767955801105</c:v>
                </c:pt>
                <c:pt idx="86">
                  <c:v>577.5911602209945</c:v>
                </c:pt>
                <c:pt idx="87">
                  <c:v>513.414364640884</c:v>
                </c:pt>
                <c:pt idx="88">
                  <c:v>449.2375690607735</c:v>
                </c:pt>
                <c:pt idx="89">
                  <c:v>385.060773480663</c:v>
                </c:pt>
                <c:pt idx="90">
                  <c:v>320.8839779005525</c:v>
                </c:pt>
                <c:pt idx="91">
                  <c:v>256.707182320442</c:v>
                </c:pt>
                <c:pt idx="92">
                  <c:v>192.5303867403316</c:v>
                </c:pt>
                <c:pt idx="93">
                  <c:v>128.353591160221</c:v>
                </c:pt>
                <c:pt idx="94">
                  <c:v>64.17679558011048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233.3333333333333</c:v>
                </c:pt>
                <c:pt idx="25">
                  <c:v>700.0</c:v>
                </c:pt>
                <c:pt idx="26">
                  <c:v>1166.666666666667</c:v>
                </c:pt>
                <c:pt idx="27">
                  <c:v>1633.333333333333</c:v>
                </c:pt>
                <c:pt idx="28">
                  <c:v>2100.0</c:v>
                </c:pt>
                <c:pt idx="29">
                  <c:v>2566.666666666667</c:v>
                </c:pt>
                <c:pt idx="30">
                  <c:v>3033.333333333333</c:v>
                </c:pt>
                <c:pt idx="31">
                  <c:v>3500.0</c:v>
                </c:pt>
                <c:pt idx="32">
                  <c:v>3966.666666666667</c:v>
                </c:pt>
                <c:pt idx="33">
                  <c:v>4433.333333333333</c:v>
                </c:pt>
                <c:pt idx="34">
                  <c:v>4900.0</c:v>
                </c:pt>
                <c:pt idx="35">
                  <c:v>5366.666666666666</c:v>
                </c:pt>
                <c:pt idx="36">
                  <c:v>5833.333333333333</c:v>
                </c:pt>
                <c:pt idx="37">
                  <c:v>6300.0</c:v>
                </c:pt>
                <c:pt idx="38">
                  <c:v>6766.666666666666</c:v>
                </c:pt>
                <c:pt idx="39">
                  <c:v>7233.333333333333</c:v>
                </c:pt>
                <c:pt idx="40">
                  <c:v>7700.0</c:v>
                </c:pt>
                <c:pt idx="41">
                  <c:v>8166.666666666666</c:v>
                </c:pt>
                <c:pt idx="42">
                  <c:v>8633.333333333334</c:v>
                </c:pt>
                <c:pt idx="43">
                  <c:v>9100.0</c:v>
                </c:pt>
                <c:pt idx="44">
                  <c:v>9566.666666666666</c:v>
                </c:pt>
                <c:pt idx="45">
                  <c:v>10033.33333333333</c:v>
                </c:pt>
                <c:pt idx="46">
                  <c:v>10500.0</c:v>
                </c:pt>
                <c:pt idx="47">
                  <c:v>10966.66666666667</c:v>
                </c:pt>
                <c:pt idx="48">
                  <c:v>11433.33333333333</c:v>
                </c:pt>
                <c:pt idx="49">
                  <c:v>11900.0</c:v>
                </c:pt>
                <c:pt idx="50">
                  <c:v>12366.66666666667</c:v>
                </c:pt>
                <c:pt idx="51">
                  <c:v>12833.33333333333</c:v>
                </c:pt>
                <c:pt idx="52">
                  <c:v>13300.0</c:v>
                </c:pt>
                <c:pt idx="53">
                  <c:v>13766.66666666667</c:v>
                </c:pt>
                <c:pt idx="54">
                  <c:v>14233.33333333333</c:v>
                </c:pt>
                <c:pt idx="55">
                  <c:v>14700.0</c:v>
                </c:pt>
                <c:pt idx="56">
                  <c:v>15166.66666666667</c:v>
                </c:pt>
                <c:pt idx="57">
                  <c:v>15633.33333333333</c:v>
                </c:pt>
                <c:pt idx="58">
                  <c:v>16100.0</c:v>
                </c:pt>
                <c:pt idx="59">
                  <c:v>16566.66666666667</c:v>
                </c:pt>
                <c:pt idx="60">
                  <c:v>18128.37209302325</c:v>
                </c:pt>
                <c:pt idx="61">
                  <c:v>20785.11627906977</c:v>
                </c:pt>
                <c:pt idx="62">
                  <c:v>23441.86046511628</c:v>
                </c:pt>
                <c:pt idx="63">
                  <c:v>26098.6046511628</c:v>
                </c:pt>
                <c:pt idx="64">
                  <c:v>28755.3488372093</c:v>
                </c:pt>
                <c:pt idx="65">
                  <c:v>31412.09302325582</c:v>
                </c:pt>
                <c:pt idx="66">
                  <c:v>34068.83720930232</c:v>
                </c:pt>
                <c:pt idx="67">
                  <c:v>36725.58139534883</c:v>
                </c:pt>
                <c:pt idx="68">
                  <c:v>39382.32558139534</c:v>
                </c:pt>
                <c:pt idx="69">
                  <c:v>42039.06976744186</c:v>
                </c:pt>
                <c:pt idx="70">
                  <c:v>44695.81395348836</c:v>
                </c:pt>
                <c:pt idx="71">
                  <c:v>47352.55813953488</c:v>
                </c:pt>
                <c:pt idx="72">
                  <c:v>50009.3023255814</c:v>
                </c:pt>
                <c:pt idx="73">
                  <c:v>52666.0465116279</c:v>
                </c:pt>
                <c:pt idx="74">
                  <c:v>55322.79069767442</c:v>
                </c:pt>
                <c:pt idx="75">
                  <c:v>57979.53488372093</c:v>
                </c:pt>
                <c:pt idx="76">
                  <c:v>60636.27906976744</c:v>
                </c:pt>
                <c:pt idx="77">
                  <c:v>63293.02325581395</c:v>
                </c:pt>
                <c:pt idx="78">
                  <c:v>65949.76744186046</c:v>
                </c:pt>
                <c:pt idx="79">
                  <c:v>68606.51162790697</c:v>
                </c:pt>
                <c:pt idx="80">
                  <c:v>71263.2558139535</c:v>
                </c:pt>
                <c:pt idx="81">
                  <c:v>73920.0</c:v>
                </c:pt>
                <c:pt idx="82">
                  <c:v>82080.0</c:v>
                </c:pt>
                <c:pt idx="83">
                  <c:v>90240.0</c:v>
                </c:pt>
                <c:pt idx="84">
                  <c:v>98400.0</c:v>
                </c:pt>
                <c:pt idx="85">
                  <c:v>106560.0</c:v>
                </c:pt>
                <c:pt idx="86">
                  <c:v>114720.0</c:v>
                </c:pt>
                <c:pt idx="87">
                  <c:v>122880.0</c:v>
                </c:pt>
                <c:pt idx="88">
                  <c:v>131040.0</c:v>
                </c:pt>
                <c:pt idx="89">
                  <c:v>139200.0</c:v>
                </c:pt>
                <c:pt idx="90">
                  <c:v>147360.0</c:v>
                </c:pt>
                <c:pt idx="91">
                  <c:v>155520.0</c:v>
                </c:pt>
                <c:pt idx="92">
                  <c:v>163680.0</c:v>
                </c:pt>
                <c:pt idx="93">
                  <c:v>171840.0</c:v>
                </c:pt>
                <c:pt idx="94">
                  <c:v>180000.0</c:v>
                </c:pt>
                <c:pt idx="95">
                  <c:v>188160.0</c:v>
                </c:pt>
                <c:pt idx="96">
                  <c:v>188160.0</c:v>
                </c:pt>
                <c:pt idx="97">
                  <c:v>188160.0</c:v>
                </c:pt>
                <c:pt idx="98">
                  <c:v>188160.0</c:v>
                </c:pt>
                <c:pt idx="99">
                  <c:v>188160.0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5145.000000000001</c:v>
                </c:pt>
                <c:pt idx="1">
                  <c:v>5145.000000000001</c:v>
                </c:pt>
                <c:pt idx="2">
                  <c:v>5145.000000000001</c:v>
                </c:pt>
                <c:pt idx="3">
                  <c:v>5145.000000000001</c:v>
                </c:pt>
                <c:pt idx="4">
                  <c:v>5145.000000000001</c:v>
                </c:pt>
                <c:pt idx="5">
                  <c:v>5145.000000000001</c:v>
                </c:pt>
                <c:pt idx="6">
                  <c:v>5145.000000000001</c:v>
                </c:pt>
                <c:pt idx="7">
                  <c:v>5145.000000000001</c:v>
                </c:pt>
                <c:pt idx="8">
                  <c:v>5145.000000000001</c:v>
                </c:pt>
                <c:pt idx="9">
                  <c:v>5145.000000000001</c:v>
                </c:pt>
                <c:pt idx="10">
                  <c:v>5145.000000000001</c:v>
                </c:pt>
                <c:pt idx="11">
                  <c:v>5145.000000000001</c:v>
                </c:pt>
                <c:pt idx="12">
                  <c:v>5145.000000000001</c:v>
                </c:pt>
                <c:pt idx="13">
                  <c:v>5145.000000000001</c:v>
                </c:pt>
                <c:pt idx="14">
                  <c:v>5145.000000000001</c:v>
                </c:pt>
                <c:pt idx="15">
                  <c:v>5145.000000000001</c:v>
                </c:pt>
                <c:pt idx="16">
                  <c:v>5145.000000000001</c:v>
                </c:pt>
                <c:pt idx="17">
                  <c:v>5145.000000000001</c:v>
                </c:pt>
                <c:pt idx="18">
                  <c:v>5145.000000000001</c:v>
                </c:pt>
                <c:pt idx="19">
                  <c:v>5145.000000000001</c:v>
                </c:pt>
                <c:pt idx="20">
                  <c:v>5145.000000000001</c:v>
                </c:pt>
                <c:pt idx="21">
                  <c:v>5145.000000000001</c:v>
                </c:pt>
                <c:pt idx="22">
                  <c:v>5145.000000000001</c:v>
                </c:pt>
                <c:pt idx="23">
                  <c:v>5145.000000000001</c:v>
                </c:pt>
                <c:pt idx="24">
                  <c:v>5173.408333333335</c:v>
                </c:pt>
                <c:pt idx="25">
                  <c:v>5230.225000000001</c:v>
                </c:pt>
                <c:pt idx="26">
                  <c:v>5287.041666666667</c:v>
                </c:pt>
                <c:pt idx="27">
                  <c:v>5343.858333333334</c:v>
                </c:pt>
                <c:pt idx="28">
                  <c:v>5400.675000000001</c:v>
                </c:pt>
                <c:pt idx="29">
                  <c:v>5457.491666666667</c:v>
                </c:pt>
                <c:pt idx="30">
                  <c:v>5514.308333333334</c:v>
                </c:pt>
                <c:pt idx="31">
                  <c:v>5571.125</c:v>
                </c:pt>
                <c:pt idx="32">
                  <c:v>5627.941666666667</c:v>
                </c:pt>
                <c:pt idx="33">
                  <c:v>5684.758333333334</c:v>
                </c:pt>
                <c:pt idx="34">
                  <c:v>5741.575000000001</c:v>
                </c:pt>
                <c:pt idx="35">
                  <c:v>5798.391666666668</c:v>
                </c:pt>
                <c:pt idx="36">
                  <c:v>5855.208333333334</c:v>
                </c:pt>
                <c:pt idx="37">
                  <c:v>5912.025000000001</c:v>
                </c:pt>
                <c:pt idx="38">
                  <c:v>5968.841666666668</c:v>
                </c:pt>
                <c:pt idx="39">
                  <c:v>6025.658333333335</c:v>
                </c:pt>
                <c:pt idx="40">
                  <c:v>6082.475000000001</c:v>
                </c:pt>
                <c:pt idx="41">
                  <c:v>6139.291666666667</c:v>
                </c:pt>
                <c:pt idx="42">
                  <c:v>6196.108333333334</c:v>
                </c:pt>
                <c:pt idx="43">
                  <c:v>6252.925000000001</c:v>
                </c:pt>
                <c:pt idx="44">
                  <c:v>6309.741666666667</c:v>
                </c:pt>
                <c:pt idx="45">
                  <c:v>6366.558333333334</c:v>
                </c:pt>
                <c:pt idx="46">
                  <c:v>6423.375000000002</c:v>
                </c:pt>
                <c:pt idx="47">
                  <c:v>6480.191666666667</c:v>
                </c:pt>
                <c:pt idx="48">
                  <c:v>6537.008333333335</c:v>
                </c:pt>
                <c:pt idx="49">
                  <c:v>6593.825</c:v>
                </c:pt>
                <c:pt idx="50">
                  <c:v>6650.641666666668</c:v>
                </c:pt>
                <c:pt idx="51">
                  <c:v>6707.458333333335</c:v>
                </c:pt>
                <c:pt idx="52">
                  <c:v>6764.275000000001</c:v>
                </c:pt>
                <c:pt idx="53">
                  <c:v>6821.091666666668</c:v>
                </c:pt>
                <c:pt idx="54">
                  <c:v>6877.908333333335</c:v>
                </c:pt>
                <c:pt idx="55">
                  <c:v>6934.725000000001</c:v>
                </c:pt>
                <c:pt idx="56">
                  <c:v>6991.541666666667</c:v>
                </c:pt>
                <c:pt idx="57">
                  <c:v>7048.358333333335</c:v>
                </c:pt>
                <c:pt idx="58">
                  <c:v>7105.175000000001</c:v>
                </c:pt>
                <c:pt idx="59">
                  <c:v>7161.991666666668</c:v>
                </c:pt>
                <c:pt idx="60">
                  <c:v>7201.339534883722</c:v>
                </c:pt>
                <c:pt idx="61">
                  <c:v>7223.218604651164</c:v>
                </c:pt>
                <c:pt idx="62">
                  <c:v>7245.097674418606</c:v>
                </c:pt>
                <c:pt idx="63">
                  <c:v>7266.976744186048</c:v>
                </c:pt>
                <c:pt idx="64">
                  <c:v>7288.85581395349</c:v>
                </c:pt>
                <c:pt idx="65">
                  <c:v>7310.734883720932</c:v>
                </c:pt>
                <c:pt idx="66">
                  <c:v>7332.613953488373</c:v>
                </c:pt>
                <c:pt idx="67">
                  <c:v>7354.493023255815</c:v>
                </c:pt>
                <c:pt idx="68">
                  <c:v>7376.372093023257</c:v>
                </c:pt>
                <c:pt idx="69">
                  <c:v>7398.251162790698</c:v>
                </c:pt>
                <c:pt idx="70">
                  <c:v>7420.13023255814</c:v>
                </c:pt>
                <c:pt idx="71">
                  <c:v>7442.009302325583</c:v>
                </c:pt>
                <c:pt idx="72">
                  <c:v>7463.888372093024</c:v>
                </c:pt>
                <c:pt idx="73">
                  <c:v>7485.767441860466</c:v>
                </c:pt>
                <c:pt idx="74">
                  <c:v>7507.646511627907</c:v>
                </c:pt>
                <c:pt idx="75">
                  <c:v>7529.52558139535</c:v>
                </c:pt>
                <c:pt idx="76">
                  <c:v>7551.404651162792</c:v>
                </c:pt>
                <c:pt idx="77">
                  <c:v>7573.283720930233</c:v>
                </c:pt>
                <c:pt idx="78">
                  <c:v>7595.162790697675</c:v>
                </c:pt>
                <c:pt idx="79">
                  <c:v>7617.041860465117</c:v>
                </c:pt>
                <c:pt idx="80">
                  <c:v>7638.920930232559</c:v>
                </c:pt>
                <c:pt idx="81">
                  <c:v>7660.800000000001</c:v>
                </c:pt>
                <c:pt idx="82">
                  <c:v>7113.600000000001</c:v>
                </c:pt>
                <c:pt idx="83">
                  <c:v>6566.400000000001</c:v>
                </c:pt>
                <c:pt idx="84">
                  <c:v>6019.200000000001</c:v>
                </c:pt>
                <c:pt idx="85">
                  <c:v>5472.000000000001</c:v>
                </c:pt>
                <c:pt idx="86">
                  <c:v>4924.800000000001</c:v>
                </c:pt>
                <c:pt idx="87">
                  <c:v>4377.6</c:v>
                </c:pt>
                <c:pt idx="88">
                  <c:v>3830.400000000001</c:v>
                </c:pt>
                <c:pt idx="89">
                  <c:v>3283.200000000001</c:v>
                </c:pt>
                <c:pt idx="90">
                  <c:v>2736.0</c:v>
                </c:pt>
                <c:pt idx="91">
                  <c:v>2188.8</c:v>
                </c:pt>
                <c:pt idx="92">
                  <c:v>1641.599999999999</c:v>
                </c:pt>
                <c:pt idx="93">
                  <c:v>1094.400000000001</c:v>
                </c:pt>
                <c:pt idx="94">
                  <c:v>547.2000000000007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14.93333333333334</c:v>
                </c:pt>
                <c:pt idx="25">
                  <c:v>44.80000000000001</c:v>
                </c:pt>
                <c:pt idx="26">
                  <c:v>74.66666666666668</c:v>
                </c:pt>
                <c:pt idx="27">
                  <c:v>104.5333333333334</c:v>
                </c:pt>
                <c:pt idx="28">
                  <c:v>134.4</c:v>
                </c:pt>
                <c:pt idx="29">
                  <c:v>164.2666666666667</c:v>
                </c:pt>
                <c:pt idx="30">
                  <c:v>194.1333333333334</c:v>
                </c:pt>
                <c:pt idx="31">
                  <c:v>224.0000000000001</c:v>
                </c:pt>
                <c:pt idx="32">
                  <c:v>253.8666666666667</c:v>
                </c:pt>
                <c:pt idx="33">
                  <c:v>283.7333333333334</c:v>
                </c:pt>
                <c:pt idx="34">
                  <c:v>313.6000000000001</c:v>
                </c:pt>
                <c:pt idx="35">
                  <c:v>343.4666666666668</c:v>
                </c:pt>
                <c:pt idx="36">
                  <c:v>373.3333333333334</c:v>
                </c:pt>
                <c:pt idx="37">
                  <c:v>403.2000000000001</c:v>
                </c:pt>
                <c:pt idx="38">
                  <c:v>433.0666666666668</c:v>
                </c:pt>
                <c:pt idx="39">
                  <c:v>462.9333333333335</c:v>
                </c:pt>
                <c:pt idx="40">
                  <c:v>492.8000000000001</c:v>
                </c:pt>
                <c:pt idx="41">
                  <c:v>522.6666666666667</c:v>
                </c:pt>
                <c:pt idx="42">
                  <c:v>552.5333333333334</c:v>
                </c:pt>
                <c:pt idx="43">
                  <c:v>582.4000000000001</c:v>
                </c:pt>
                <c:pt idx="44">
                  <c:v>612.2666666666668</c:v>
                </c:pt>
                <c:pt idx="45">
                  <c:v>642.1333333333335</c:v>
                </c:pt>
                <c:pt idx="46">
                  <c:v>672.0000000000002</c:v>
                </c:pt>
                <c:pt idx="47">
                  <c:v>701.866666666667</c:v>
                </c:pt>
                <c:pt idx="48">
                  <c:v>731.7333333333334</c:v>
                </c:pt>
                <c:pt idx="49">
                  <c:v>761.6000000000001</c:v>
                </c:pt>
                <c:pt idx="50">
                  <c:v>791.4666666666668</c:v>
                </c:pt>
                <c:pt idx="51">
                  <c:v>821.3333333333334</c:v>
                </c:pt>
                <c:pt idx="52">
                  <c:v>851.2000000000002</c:v>
                </c:pt>
                <c:pt idx="53">
                  <c:v>881.066666666667</c:v>
                </c:pt>
                <c:pt idx="54">
                  <c:v>910.9333333333335</c:v>
                </c:pt>
                <c:pt idx="55">
                  <c:v>940.8000000000003</c:v>
                </c:pt>
                <c:pt idx="56">
                  <c:v>970.6666666666668</c:v>
                </c:pt>
                <c:pt idx="57">
                  <c:v>1000.533333333334</c:v>
                </c:pt>
                <c:pt idx="58">
                  <c:v>1030.4</c:v>
                </c:pt>
                <c:pt idx="59">
                  <c:v>1060.266666666667</c:v>
                </c:pt>
                <c:pt idx="60">
                  <c:v>1050.19534883721</c:v>
                </c:pt>
                <c:pt idx="61">
                  <c:v>1000.186046511628</c:v>
                </c:pt>
                <c:pt idx="62">
                  <c:v>950.1767441860467</c:v>
                </c:pt>
                <c:pt idx="63">
                  <c:v>900.1674418604654</c:v>
                </c:pt>
                <c:pt idx="64">
                  <c:v>850.158139534884</c:v>
                </c:pt>
                <c:pt idx="65">
                  <c:v>800.1488372093025</c:v>
                </c:pt>
                <c:pt idx="66">
                  <c:v>750.1395348837211</c:v>
                </c:pt>
                <c:pt idx="67">
                  <c:v>700.1302325581397</c:v>
                </c:pt>
                <c:pt idx="68">
                  <c:v>650.1209302325582</c:v>
                </c:pt>
                <c:pt idx="69">
                  <c:v>600.1116279069769</c:v>
                </c:pt>
                <c:pt idx="70">
                  <c:v>550.1023255813956</c:v>
                </c:pt>
                <c:pt idx="71">
                  <c:v>500.093023255814</c:v>
                </c:pt>
                <c:pt idx="72">
                  <c:v>450.0837209302326</c:v>
                </c:pt>
                <c:pt idx="73">
                  <c:v>400.0744186046512</c:v>
                </c:pt>
                <c:pt idx="74">
                  <c:v>350.0651162790699</c:v>
                </c:pt>
                <c:pt idx="75">
                  <c:v>300.0558139534884</c:v>
                </c:pt>
                <c:pt idx="76">
                  <c:v>250.0465116279071</c:v>
                </c:pt>
                <c:pt idx="77">
                  <c:v>200.0372093023257</c:v>
                </c:pt>
                <c:pt idx="78">
                  <c:v>150.0279069767442</c:v>
                </c:pt>
                <c:pt idx="79">
                  <c:v>100.0186046511628</c:v>
                </c:pt>
                <c:pt idx="80">
                  <c:v>50.0093023255813</c:v>
                </c:pt>
                <c:pt idx="81">
                  <c:v>0.0</c:v>
                </c:pt>
                <c:pt idx="82">
                  <c:v>13440.0</c:v>
                </c:pt>
                <c:pt idx="83">
                  <c:v>26880.0</c:v>
                </c:pt>
                <c:pt idx="84">
                  <c:v>40320.0</c:v>
                </c:pt>
                <c:pt idx="85">
                  <c:v>53760.0</c:v>
                </c:pt>
                <c:pt idx="86">
                  <c:v>67200.0</c:v>
                </c:pt>
                <c:pt idx="87">
                  <c:v>80640.0</c:v>
                </c:pt>
                <c:pt idx="88">
                  <c:v>94080.0</c:v>
                </c:pt>
                <c:pt idx="89">
                  <c:v>107520.0</c:v>
                </c:pt>
                <c:pt idx="90">
                  <c:v>120960.0</c:v>
                </c:pt>
                <c:pt idx="91">
                  <c:v>134400.0</c:v>
                </c:pt>
                <c:pt idx="92">
                  <c:v>147840.0</c:v>
                </c:pt>
                <c:pt idx="93">
                  <c:v>161280.0</c:v>
                </c:pt>
                <c:pt idx="94">
                  <c:v>174720.0</c:v>
                </c:pt>
                <c:pt idx="95">
                  <c:v>188160.0</c:v>
                </c:pt>
                <c:pt idx="96">
                  <c:v>188160.0</c:v>
                </c:pt>
                <c:pt idx="97">
                  <c:v>188160.0</c:v>
                </c:pt>
                <c:pt idx="98">
                  <c:v>188160.0</c:v>
                </c:pt>
                <c:pt idx="99">
                  <c:v>188160.0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85.76353591160221</c:v>
                </c:pt>
                <c:pt idx="1">
                  <c:v>85.76353591160221</c:v>
                </c:pt>
                <c:pt idx="2">
                  <c:v>85.76353591160221</c:v>
                </c:pt>
                <c:pt idx="3">
                  <c:v>85.76353591160221</c:v>
                </c:pt>
                <c:pt idx="4">
                  <c:v>85.76353591160221</c:v>
                </c:pt>
                <c:pt idx="5">
                  <c:v>85.76353591160221</c:v>
                </c:pt>
                <c:pt idx="6">
                  <c:v>85.76353591160221</c:v>
                </c:pt>
                <c:pt idx="7">
                  <c:v>85.76353591160221</c:v>
                </c:pt>
                <c:pt idx="8">
                  <c:v>85.76353591160221</c:v>
                </c:pt>
                <c:pt idx="9">
                  <c:v>85.76353591160221</c:v>
                </c:pt>
                <c:pt idx="10">
                  <c:v>85.76353591160221</c:v>
                </c:pt>
                <c:pt idx="11">
                  <c:v>85.76353591160221</c:v>
                </c:pt>
                <c:pt idx="12">
                  <c:v>85.76353591160221</c:v>
                </c:pt>
                <c:pt idx="13">
                  <c:v>85.76353591160221</c:v>
                </c:pt>
                <c:pt idx="14">
                  <c:v>85.76353591160221</c:v>
                </c:pt>
                <c:pt idx="15">
                  <c:v>85.76353591160221</c:v>
                </c:pt>
                <c:pt idx="16">
                  <c:v>85.76353591160221</c:v>
                </c:pt>
                <c:pt idx="17">
                  <c:v>85.76353591160221</c:v>
                </c:pt>
                <c:pt idx="18">
                  <c:v>85.76353591160221</c:v>
                </c:pt>
                <c:pt idx="19">
                  <c:v>85.76353591160221</c:v>
                </c:pt>
                <c:pt idx="20">
                  <c:v>85.76353591160221</c:v>
                </c:pt>
                <c:pt idx="21">
                  <c:v>85.76353591160221</c:v>
                </c:pt>
                <c:pt idx="22">
                  <c:v>85.76353591160221</c:v>
                </c:pt>
                <c:pt idx="23">
                  <c:v>85.76353591160221</c:v>
                </c:pt>
                <c:pt idx="24">
                  <c:v>92.42149600948964</c:v>
                </c:pt>
                <c:pt idx="25">
                  <c:v>105.7374162052645</c:v>
                </c:pt>
                <c:pt idx="26">
                  <c:v>119.0533364010393</c:v>
                </c:pt>
                <c:pt idx="27">
                  <c:v>132.3692565968142</c:v>
                </c:pt>
                <c:pt idx="28">
                  <c:v>145.6851767925891</c:v>
                </c:pt>
                <c:pt idx="29">
                  <c:v>159.0010969883639</c:v>
                </c:pt>
                <c:pt idx="30">
                  <c:v>172.3170171841388</c:v>
                </c:pt>
                <c:pt idx="31">
                  <c:v>185.6329373799136</c:v>
                </c:pt>
                <c:pt idx="32">
                  <c:v>198.9488575756885</c:v>
                </c:pt>
                <c:pt idx="33">
                  <c:v>212.2647777714633</c:v>
                </c:pt>
                <c:pt idx="34">
                  <c:v>225.5806979672382</c:v>
                </c:pt>
                <c:pt idx="35">
                  <c:v>238.896618163013</c:v>
                </c:pt>
                <c:pt idx="36">
                  <c:v>252.2125383587879</c:v>
                </c:pt>
                <c:pt idx="37">
                  <c:v>265.5284585545627</c:v>
                </c:pt>
                <c:pt idx="38">
                  <c:v>278.8443787503376</c:v>
                </c:pt>
                <c:pt idx="39">
                  <c:v>292.1602989461124</c:v>
                </c:pt>
                <c:pt idx="40">
                  <c:v>305.4762191418873</c:v>
                </c:pt>
                <c:pt idx="41">
                  <c:v>318.7921393376621</c:v>
                </c:pt>
                <c:pt idx="42">
                  <c:v>332.108059533437</c:v>
                </c:pt>
                <c:pt idx="43">
                  <c:v>345.4239797292119</c:v>
                </c:pt>
                <c:pt idx="44">
                  <c:v>358.7398999249867</c:v>
                </c:pt>
                <c:pt idx="45">
                  <c:v>372.0558201207615</c:v>
                </c:pt>
                <c:pt idx="46">
                  <c:v>385.3717403165364</c:v>
                </c:pt>
                <c:pt idx="47">
                  <c:v>398.6876605123112</c:v>
                </c:pt>
                <c:pt idx="48">
                  <c:v>412.0035807080861</c:v>
                </c:pt>
                <c:pt idx="49">
                  <c:v>425.319500903861</c:v>
                </c:pt>
                <c:pt idx="50">
                  <c:v>438.6354210996358</c:v>
                </c:pt>
                <c:pt idx="51">
                  <c:v>451.9513412954107</c:v>
                </c:pt>
                <c:pt idx="52">
                  <c:v>465.2672614911855</c:v>
                </c:pt>
                <c:pt idx="53">
                  <c:v>478.5831816869604</c:v>
                </c:pt>
                <c:pt idx="54">
                  <c:v>491.8991018827352</c:v>
                </c:pt>
                <c:pt idx="55">
                  <c:v>505.2150220785101</c:v>
                </c:pt>
                <c:pt idx="56">
                  <c:v>518.5309422742848</c:v>
                </c:pt>
                <c:pt idx="57">
                  <c:v>531.8468624700597</c:v>
                </c:pt>
                <c:pt idx="58">
                  <c:v>545.1627826658346</c:v>
                </c:pt>
                <c:pt idx="59">
                  <c:v>558.4787028616094</c:v>
                </c:pt>
                <c:pt idx="60">
                  <c:v>551.9939498674156</c:v>
                </c:pt>
                <c:pt idx="61">
                  <c:v>525.708523683253</c:v>
                </c:pt>
                <c:pt idx="62">
                  <c:v>499.4230974990903</c:v>
                </c:pt>
                <c:pt idx="63">
                  <c:v>473.1376713149276</c:v>
                </c:pt>
                <c:pt idx="64">
                  <c:v>446.852245130765</c:v>
                </c:pt>
                <c:pt idx="65">
                  <c:v>420.5668189466023</c:v>
                </c:pt>
                <c:pt idx="66">
                  <c:v>394.2813927624397</c:v>
                </c:pt>
                <c:pt idx="67">
                  <c:v>367.995966578277</c:v>
                </c:pt>
                <c:pt idx="68">
                  <c:v>341.7105403941144</c:v>
                </c:pt>
                <c:pt idx="69">
                  <c:v>315.4251142099517</c:v>
                </c:pt>
                <c:pt idx="70">
                  <c:v>289.1396880257891</c:v>
                </c:pt>
                <c:pt idx="71">
                  <c:v>262.8542618416264</c:v>
                </c:pt>
                <c:pt idx="72">
                  <c:v>236.5688356574638</c:v>
                </c:pt>
                <c:pt idx="73">
                  <c:v>210.2834094733012</c:v>
                </c:pt>
                <c:pt idx="74">
                  <c:v>183.9979832891385</c:v>
                </c:pt>
                <c:pt idx="75">
                  <c:v>157.7125571049759</c:v>
                </c:pt>
                <c:pt idx="76">
                  <c:v>131.4271309208133</c:v>
                </c:pt>
                <c:pt idx="77">
                  <c:v>105.1417047366506</c:v>
                </c:pt>
                <c:pt idx="78">
                  <c:v>78.85627855248799</c:v>
                </c:pt>
                <c:pt idx="79">
                  <c:v>52.5708523683253</c:v>
                </c:pt>
                <c:pt idx="80">
                  <c:v>26.28542618416259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21051.29090909091</c:v>
                </c:pt>
                <c:pt idx="1">
                  <c:v>21051.29090909091</c:v>
                </c:pt>
                <c:pt idx="2">
                  <c:v>21051.29090909091</c:v>
                </c:pt>
                <c:pt idx="3">
                  <c:v>21051.29090909091</c:v>
                </c:pt>
                <c:pt idx="4">
                  <c:v>21051.29090909091</c:v>
                </c:pt>
                <c:pt idx="5">
                  <c:v>21051.29090909091</c:v>
                </c:pt>
                <c:pt idx="6">
                  <c:v>21051.29090909091</c:v>
                </c:pt>
                <c:pt idx="7">
                  <c:v>21051.29090909091</c:v>
                </c:pt>
                <c:pt idx="8">
                  <c:v>21051.29090909091</c:v>
                </c:pt>
                <c:pt idx="9">
                  <c:v>21051.29090909091</c:v>
                </c:pt>
                <c:pt idx="10">
                  <c:v>21051.29090909091</c:v>
                </c:pt>
                <c:pt idx="11">
                  <c:v>21051.29090909091</c:v>
                </c:pt>
                <c:pt idx="12">
                  <c:v>21051.29090909091</c:v>
                </c:pt>
                <c:pt idx="13">
                  <c:v>21051.29090909091</c:v>
                </c:pt>
                <c:pt idx="14">
                  <c:v>21051.29090909091</c:v>
                </c:pt>
                <c:pt idx="15">
                  <c:v>21051.29090909091</c:v>
                </c:pt>
                <c:pt idx="16">
                  <c:v>21051.29090909091</c:v>
                </c:pt>
                <c:pt idx="17">
                  <c:v>21051.29090909091</c:v>
                </c:pt>
                <c:pt idx="18">
                  <c:v>21051.29090909091</c:v>
                </c:pt>
                <c:pt idx="19">
                  <c:v>21051.29090909091</c:v>
                </c:pt>
                <c:pt idx="20">
                  <c:v>21051.29090909091</c:v>
                </c:pt>
                <c:pt idx="21">
                  <c:v>21051.29090909091</c:v>
                </c:pt>
                <c:pt idx="22">
                  <c:v>21051.29090909091</c:v>
                </c:pt>
                <c:pt idx="23">
                  <c:v>21051.29090909091</c:v>
                </c:pt>
                <c:pt idx="24">
                  <c:v>21069.01893939394</c:v>
                </c:pt>
                <c:pt idx="25">
                  <c:v>21104.475</c:v>
                </c:pt>
                <c:pt idx="26">
                  <c:v>21139.93106060606</c:v>
                </c:pt>
                <c:pt idx="27">
                  <c:v>21175.38712121212</c:v>
                </c:pt>
                <c:pt idx="28">
                  <c:v>21210.84318181819</c:v>
                </c:pt>
                <c:pt idx="29">
                  <c:v>21246.29924242425</c:v>
                </c:pt>
                <c:pt idx="30">
                  <c:v>21281.75530303031</c:v>
                </c:pt>
                <c:pt idx="31">
                  <c:v>21317.21136363637</c:v>
                </c:pt>
                <c:pt idx="32">
                  <c:v>21352.66742424243</c:v>
                </c:pt>
                <c:pt idx="33">
                  <c:v>21388.12348484849</c:v>
                </c:pt>
                <c:pt idx="34">
                  <c:v>21423.57954545455</c:v>
                </c:pt>
                <c:pt idx="35">
                  <c:v>21459.03560606061</c:v>
                </c:pt>
                <c:pt idx="36">
                  <c:v>21494.49166666667</c:v>
                </c:pt>
                <c:pt idx="37">
                  <c:v>21529.94772727273</c:v>
                </c:pt>
                <c:pt idx="38">
                  <c:v>21565.40378787879</c:v>
                </c:pt>
                <c:pt idx="39">
                  <c:v>21600.85984848485</c:v>
                </c:pt>
                <c:pt idx="40">
                  <c:v>21636.31590909091</c:v>
                </c:pt>
                <c:pt idx="41">
                  <c:v>21671.77196969697</c:v>
                </c:pt>
                <c:pt idx="42">
                  <c:v>21707.22803030303</c:v>
                </c:pt>
                <c:pt idx="43">
                  <c:v>21742.6840909091</c:v>
                </c:pt>
                <c:pt idx="44">
                  <c:v>21778.14015151516</c:v>
                </c:pt>
                <c:pt idx="45">
                  <c:v>21813.59621212121</c:v>
                </c:pt>
                <c:pt idx="46">
                  <c:v>21849.05227272728</c:v>
                </c:pt>
                <c:pt idx="47">
                  <c:v>21884.50833333334</c:v>
                </c:pt>
                <c:pt idx="48">
                  <c:v>21919.9643939394</c:v>
                </c:pt>
                <c:pt idx="49">
                  <c:v>21955.42045454546</c:v>
                </c:pt>
                <c:pt idx="50">
                  <c:v>21990.87651515152</c:v>
                </c:pt>
                <c:pt idx="51">
                  <c:v>22026.33257575758</c:v>
                </c:pt>
                <c:pt idx="52">
                  <c:v>22061.78863636364</c:v>
                </c:pt>
                <c:pt idx="53">
                  <c:v>22097.2446969697</c:v>
                </c:pt>
                <c:pt idx="54">
                  <c:v>22132.70075757576</c:v>
                </c:pt>
                <c:pt idx="55">
                  <c:v>22168.15681818182</c:v>
                </c:pt>
                <c:pt idx="56">
                  <c:v>22203.61287878788</c:v>
                </c:pt>
                <c:pt idx="57">
                  <c:v>22239.06893939394</c:v>
                </c:pt>
                <c:pt idx="58">
                  <c:v>22274.52500000001</c:v>
                </c:pt>
                <c:pt idx="59">
                  <c:v>22309.98106060606</c:v>
                </c:pt>
                <c:pt idx="60">
                  <c:v>22014.67737843552</c:v>
                </c:pt>
                <c:pt idx="61">
                  <c:v>21388.61395348838</c:v>
                </c:pt>
                <c:pt idx="62">
                  <c:v>20762.55052854123</c:v>
                </c:pt>
                <c:pt idx="63">
                  <c:v>20136.48710359408</c:v>
                </c:pt>
                <c:pt idx="64">
                  <c:v>19510.42367864694</c:v>
                </c:pt>
                <c:pt idx="65">
                  <c:v>18884.36025369979</c:v>
                </c:pt>
                <c:pt idx="66">
                  <c:v>18258.29682875264</c:v>
                </c:pt>
                <c:pt idx="67">
                  <c:v>17632.2334038055</c:v>
                </c:pt>
                <c:pt idx="68">
                  <c:v>17006.16997885835</c:v>
                </c:pt>
                <c:pt idx="69">
                  <c:v>16380.10655391121</c:v>
                </c:pt>
                <c:pt idx="70">
                  <c:v>15754.04312896406</c:v>
                </c:pt>
                <c:pt idx="71">
                  <c:v>15127.97970401692</c:v>
                </c:pt>
                <c:pt idx="72">
                  <c:v>14501.91627906977</c:v>
                </c:pt>
                <c:pt idx="73">
                  <c:v>13875.85285412262</c:v>
                </c:pt>
                <c:pt idx="74">
                  <c:v>13249.78942917548</c:v>
                </c:pt>
                <c:pt idx="75">
                  <c:v>12623.72600422833</c:v>
                </c:pt>
                <c:pt idx="76">
                  <c:v>11997.66257928119</c:v>
                </c:pt>
                <c:pt idx="77">
                  <c:v>11371.59915433404</c:v>
                </c:pt>
                <c:pt idx="78">
                  <c:v>10745.53572938689</c:v>
                </c:pt>
                <c:pt idx="79">
                  <c:v>10119.47230443975</c:v>
                </c:pt>
                <c:pt idx="80">
                  <c:v>9493.408879492603</c:v>
                </c:pt>
                <c:pt idx="81">
                  <c:v>8867.345454545455</c:v>
                </c:pt>
                <c:pt idx="82">
                  <c:v>8972.909090909094</c:v>
                </c:pt>
                <c:pt idx="83">
                  <c:v>9078.47272727273</c:v>
                </c:pt>
                <c:pt idx="84">
                  <c:v>9184.036363636365</c:v>
                </c:pt>
                <c:pt idx="85">
                  <c:v>9289.600000000002</c:v>
                </c:pt>
                <c:pt idx="86">
                  <c:v>9395.163636363639</c:v>
                </c:pt>
                <c:pt idx="87">
                  <c:v>9500.727272727275</c:v>
                </c:pt>
                <c:pt idx="88">
                  <c:v>9606.290909090912</c:v>
                </c:pt>
                <c:pt idx="89">
                  <c:v>9711.854545454547</c:v>
                </c:pt>
                <c:pt idx="90">
                  <c:v>9817.418181818184</c:v>
                </c:pt>
                <c:pt idx="91">
                  <c:v>9922.98181818182</c:v>
                </c:pt>
                <c:pt idx="92">
                  <c:v>10028.54545454546</c:v>
                </c:pt>
                <c:pt idx="93">
                  <c:v>10134.10909090909</c:v>
                </c:pt>
                <c:pt idx="94">
                  <c:v>10239.67272727273</c:v>
                </c:pt>
                <c:pt idx="95">
                  <c:v>10345.23636363637</c:v>
                </c:pt>
                <c:pt idx="96">
                  <c:v>10345.23636363637</c:v>
                </c:pt>
                <c:pt idx="97">
                  <c:v>10345.23636363637</c:v>
                </c:pt>
                <c:pt idx="98">
                  <c:v>10345.23636363637</c:v>
                </c:pt>
                <c:pt idx="99">
                  <c:v>10345.23636363637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74.66666666666667</c:v>
                </c:pt>
                <c:pt idx="25">
                  <c:v>224.0</c:v>
                </c:pt>
                <c:pt idx="26">
                  <c:v>373.3333333333333</c:v>
                </c:pt>
                <c:pt idx="27">
                  <c:v>522.6666666666666</c:v>
                </c:pt>
                <c:pt idx="28">
                  <c:v>672.0</c:v>
                </c:pt>
                <c:pt idx="29">
                  <c:v>821.3333333333333</c:v>
                </c:pt>
                <c:pt idx="30">
                  <c:v>970.6666666666666</c:v>
                </c:pt>
                <c:pt idx="31">
                  <c:v>1120.0</c:v>
                </c:pt>
                <c:pt idx="32">
                  <c:v>1269.333333333333</c:v>
                </c:pt>
                <c:pt idx="33">
                  <c:v>1418.666666666667</c:v>
                </c:pt>
                <c:pt idx="34">
                  <c:v>1568.0</c:v>
                </c:pt>
                <c:pt idx="35">
                  <c:v>1717.333333333333</c:v>
                </c:pt>
                <c:pt idx="36">
                  <c:v>1866.666666666667</c:v>
                </c:pt>
                <c:pt idx="37">
                  <c:v>2016.0</c:v>
                </c:pt>
                <c:pt idx="38">
                  <c:v>2165.333333333333</c:v>
                </c:pt>
                <c:pt idx="39">
                  <c:v>2314.666666666667</c:v>
                </c:pt>
                <c:pt idx="40">
                  <c:v>2464.0</c:v>
                </c:pt>
                <c:pt idx="41">
                  <c:v>2613.333333333333</c:v>
                </c:pt>
                <c:pt idx="42">
                  <c:v>2762.666666666667</c:v>
                </c:pt>
                <c:pt idx="43">
                  <c:v>2912.0</c:v>
                </c:pt>
                <c:pt idx="44">
                  <c:v>3061.333333333333</c:v>
                </c:pt>
                <c:pt idx="45">
                  <c:v>3210.666666666667</c:v>
                </c:pt>
                <c:pt idx="46">
                  <c:v>3360.0</c:v>
                </c:pt>
                <c:pt idx="47">
                  <c:v>3509.333333333333</c:v>
                </c:pt>
                <c:pt idx="48">
                  <c:v>3658.666666666667</c:v>
                </c:pt>
                <c:pt idx="49">
                  <c:v>3808.0</c:v>
                </c:pt>
                <c:pt idx="50">
                  <c:v>3957.333333333333</c:v>
                </c:pt>
                <c:pt idx="51">
                  <c:v>4106.666666666666</c:v>
                </c:pt>
                <c:pt idx="52">
                  <c:v>4256.0</c:v>
                </c:pt>
                <c:pt idx="53">
                  <c:v>4405.333333333333</c:v>
                </c:pt>
                <c:pt idx="54">
                  <c:v>4554.666666666666</c:v>
                </c:pt>
                <c:pt idx="55">
                  <c:v>4704.0</c:v>
                </c:pt>
                <c:pt idx="56">
                  <c:v>4853.333333333333</c:v>
                </c:pt>
                <c:pt idx="57">
                  <c:v>5002.666666666666</c:v>
                </c:pt>
                <c:pt idx="58">
                  <c:v>5152.0</c:v>
                </c:pt>
                <c:pt idx="59">
                  <c:v>5301.333333333333</c:v>
                </c:pt>
                <c:pt idx="60">
                  <c:v>5282.232558139535</c:v>
                </c:pt>
                <c:pt idx="61">
                  <c:v>5094.697674418604</c:v>
                </c:pt>
                <c:pt idx="62">
                  <c:v>4907.162790697674</c:v>
                </c:pt>
                <c:pt idx="63">
                  <c:v>4719.627906976744</c:v>
                </c:pt>
                <c:pt idx="64">
                  <c:v>4532.093023255813</c:v>
                </c:pt>
                <c:pt idx="65">
                  <c:v>4344.558139534883</c:v>
                </c:pt>
                <c:pt idx="66">
                  <c:v>4157.023255813953</c:v>
                </c:pt>
                <c:pt idx="67">
                  <c:v>3969.488372093023</c:v>
                </c:pt>
                <c:pt idx="68">
                  <c:v>3781.953488372093</c:v>
                </c:pt>
                <c:pt idx="69">
                  <c:v>3594.418604651163</c:v>
                </c:pt>
                <c:pt idx="70">
                  <c:v>3406.883720930233</c:v>
                </c:pt>
                <c:pt idx="71">
                  <c:v>3219.348837209302</c:v>
                </c:pt>
                <c:pt idx="72">
                  <c:v>3031.813953488372</c:v>
                </c:pt>
                <c:pt idx="73">
                  <c:v>2844.279069767442</c:v>
                </c:pt>
                <c:pt idx="74">
                  <c:v>2656.744186046511</c:v>
                </c:pt>
                <c:pt idx="75">
                  <c:v>2469.209302325582</c:v>
                </c:pt>
                <c:pt idx="76">
                  <c:v>2281.674418604651</c:v>
                </c:pt>
                <c:pt idx="77">
                  <c:v>2094.139534883721</c:v>
                </c:pt>
                <c:pt idx="78">
                  <c:v>1906.604651162791</c:v>
                </c:pt>
                <c:pt idx="79">
                  <c:v>1719.069767441861</c:v>
                </c:pt>
                <c:pt idx="80">
                  <c:v>1531.53488372093</c:v>
                </c:pt>
                <c:pt idx="81">
                  <c:v>1344.0</c:v>
                </c:pt>
                <c:pt idx="82">
                  <c:v>2592.0</c:v>
                </c:pt>
                <c:pt idx="83">
                  <c:v>3840.0</c:v>
                </c:pt>
                <c:pt idx="84">
                  <c:v>5088.0</c:v>
                </c:pt>
                <c:pt idx="85">
                  <c:v>6336.0</c:v>
                </c:pt>
                <c:pt idx="86">
                  <c:v>7584.0</c:v>
                </c:pt>
                <c:pt idx="87">
                  <c:v>8832.0</c:v>
                </c:pt>
                <c:pt idx="88">
                  <c:v>10080.0</c:v>
                </c:pt>
                <c:pt idx="89">
                  <c:v>11328.0</c:v>
                </c:pt>
                <c:pt idx="90">
                  <c:v>12576.0</c:v>
                </c:pt>
                <c:pt idx="91">
                  <c:v>13824.0</c:v>
                </c:pt>
                <c:pt idx="92">
                  <c:v>15072.0</c:v>
                </c:pt>
                <c:pt idx="93">
                  <c:v>16320.0</c:v>
                </c:pt>
                <c:pt idx="94">
                  <c:v>17568.0</c:v>
                </c:pt>
                <c:pt idx="95">
                  <c:v>18816.0</c:v>
                </c:pt>
                <c:pt idx="96">
                  <c:v>18816.0</c:v>
                </c:pt>
                <c:pt idx="97">
                  <c:v>18816.0</c:v>
                </c:pt>
                <c:pt idx="98">
                  <c:v>18816.0</c:v>
                </c:pt>
                <c:pt idx="99">
                  <c:v>18816.0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943416"/>
        <c:axId val="18945629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29946.91949437329</c:v>
                </c:pt>
                <c:pt idx="1">
                  <c:v>29946.91949437329</c:v>
                </c:pt>
                <c:pt idx="2">
                  <c:v>29946.91949437329</c:v>
                </c:pt>
                <c:pt idx="3">
                  <c:v>29946.91949437329</c:v>
                </c:pt>
                <c:pt idx="4">
                  <c:v>29946.91949437329</c:v>
                </c:pt>
                <c:pt idx="5">
                  <c:v>29946.91949437329</c:v>
                </c:pt>
                <c:pt idx="6">
                  <c:v>29946.91949437329</c:v>
                </c:pt>
                <c:pt idx="7">
                  <c:v>29946.91949437329</c:v>
                </c:pt>
                <c:pt idx="8">
                  <c:v>29946.91949437329</c:v>
                </c:pt>
                <c:pt idx="9">
                  <c:v>29946.91949437329</c:v>
                </c:pt>
                <c:pt idx="10">
                  <c:v>29946.91949437329</c:v>
                </c:pt>
                <c:pt idx="11">
                  <c:v>29946.91949437329</c:v>
                </c:pt>
                <c:pt idx="12">
                  <c:v>29946.91949437329</c:v>
                </c:pt>
                <c:pt idx="13">
                  <c:v>29946.91949437329</c:v>
                </c:pt>
                <c:pt idx="14">
                  <c:v>29946.91949437329</c:v>
                </c:pt>
                <c:pt idx="15">
                  <c:v>29946.91949437329</c:v>
                </c:pt>
                <c:pt idx="16">
                  <c:v>29946.91949437329</c:v>
                </c:pt>
                <c:pt idx="17">
                  <c:v>29946.91949437329</c:v>
                </c:pt>
                <c:pt idx="18">
                  <c:v>29946.91949437329</c:v>
                </c:pt>
                <c:pt idx="19">
                  <c:v>29946.91949437329</c:v>
                </c:pt>
                <c:pt idx="20">
                  <c:v>29946.91949437329</c:v>
                </c:pt>
                <c:pt idx="21">
                  <c:v>29946.91949437329</c:v>
                </c:pt>
                <c:pt idx="22">
                  <c:v>29946.91949437329</c:v>
                </c:pt>
                <c:pt idx="23">
                  <c:v>29946.91949437329</c:v>
                </c:pt>
                <c:pt idx="24">
                  <c:v>29946.91949437329</c:v>
                </c:pt>
                <c:pt idx="25">
                  <c:v>29946.91949437329</c:v>
                </c:pt>
                <c:pt idx="26">
                  <c:v>29946.91949437329</c:v>
                </c:pt>
                <c:pt idx="27">
                  <c:v>29946.91949437329</c:v>
                </c:pt>
                <c:pt idx="28">
                  <c:v>29946.91949437329</c:v>
                </c:pt>
                <c:pt idx="29">
                  <c:v>29946.91949437329</c:v>
                </c:pt>
                <c:pt idx="30">
                  <c:v>29946.91949437329</c:v>
                </c:pt>
                <c:pt idx="31">
                  <c:v>29946.91949437329</c:v>
                </c:pt>
                <c:pt idx="32">
                  <c:v>29946.91949437329</c:v>
                </c:pt>
                <c:pt idx="33">
                  <c:v>29946.91949437329</c:v>
                </c:pt>
                <c:pt idx="34">
                  <c:v>29946.91949437329</c:v>
                </c:pt>
                <c:pt idx="35">
                  <c:v>29946.91949437329</c:v>
                </c:pt>
                <c:pt idx="36">
                  <c:v>29946.91949437329</c:v>
                </c:pt>
                <c:pt idx="37">
                  <c:v>29946.91949437329</c:v>
                </c:pt>
                <c:pt idx="38">
                  <c:v>29946.91949437329</c:v>
                </c:pt>
                <c:pt idx="39">
                  <c:v>29946.91949437329</c:v>
                </c:pt>
                <c:pt idx="40">
                  <c:v>29946.91949437329</c:v>
                </c:pt>
                <c:pt idx="41">
                  <c:v>29946.91949437329</c:v>
                </c:pt>
                <c:pt idx="42">
                  <c:v>29946.91949437329</c:v>
                </c:pt>
                <c:pt idx="43">
                  <c:v>29946.91949437329</c:v>
                </c:pt>
                <c:pt idx="44">
                  <c:v>29946.91949437329</c:v>
                </c:pt>
                <c:pt idx="45">
                  <c:v>29946.91949437329</c:v>
                </c:pt>
                <c:pt idx="46">
                  <c:v>29946.91949437329</c:v>
                </c:pt>
                <c:pt idx="47">
                  <c:v>29946.91949437329</c:v>
                </c:pt>
                <c:pt idx="48">
                  <c:v>29946.91949437329</c:v>
                </c:pt>
                <c:pt idx="49">
                  <c:v>29946.91949437329</c:v>
                </c:pt>
                <c:pt idx="50">
                  <c:v>29946.91949437329</c:v>
                </c:pt>
                <c:pt idx="51">
                  <c:v>29946.91949437329</c:v>
                </c:pt>
                <c:pt idx="52">
                  <c:v>29946.91949437329</c:v>
                </c:pt>
                <c:pt idx="53">
                  <c:v>29946.91949437329</c:v>
                </c:pt>
                <c:pt idx="54">
                  <c:v>29946.91949437329</c:v>
                </c:pt>
                <c:pt idx="55">
                  <c:v>29946.91949437329</c:v>
                </c:pt>
                <c:pt idx="56">
                  <c:v>29946.91949437329</c:v>
                </c:pt>
                <c:pt idx="57">
                  <c:v>29946.91949437329</c:v>
                </c:pt>
                <c:pt idx="58">
                  <c:v>29946.91949437329</c:v>
                </c:pt>
                <c:pt idx="59">
                  <c:v>29946.91949437329</c:v>
                </c:pt>
                <c:pt idx="60">
                  <c:v>29946.91949437329</c:v>
                </c:pt>
                <c:pt idx="61">
                  <c:v>29946.91949437329</c:v>
                </c:pt>
                <c:pt idx="62">
                  <c:v>29946.91949437329</c:v>
                </c:pt>
                <c:pt idx="63">
                  <c:v>29946.91949437329</c:v>
                </c:pt>
                <c:pt idx="64">
                  <c:v>29946.91949437329</c:v>
                </c:pt>
                <c:pt idx="65">
                  <c:v>29946.91949437329</c:v>
                </c:pt>
                <c:pt idx="66">
                  <c:v>29946.91949437329</c:v>
                </c:pt>
                <c:pt idx="67">
                  <c:v>29946.91949437329</c:v>
                </c:pt>
                <c:pt idx="68">
                  <c:v>29946.91949437329</c:v>
                </c:pt>
                <c:pt idx="69">
                  <c:v>29946.91949437329</c:v>
                </c:pt>
                <c:pt idx="70">
                  <c:v>29946.91949437329</c:v>
                </c:pt>
                <c:pt idx="71">
                  <c:v>29946.91949437329</c:v>
                </c:pt>
                <c:pt idx="72">
                  <c:v>29946.91949437329</c:v>
                </c:pt>
                <c:pt idx="73">
                  <c:v>29946.91949437329</c:v>
                </c:pt>
                <c:pt idx="74">
                  <c:v>29946.91949437329</c:v>
                </c:pt>
                <c:pt idx="75">
                  <c:v>29946.91949437329</c:v>
                </c:pt>
                <c:pt idx="76">
                  <c:v>29946.91949437329</c:v>
                </c:pt>
                <c:pt idx="77">
                  <c:v>29946.91949437329</c:v>
                </c:pt>
                <c:pt idx="78">
                  <c:v>29946.91949437329</c:v>
                </c:pt>
                <c:pt idx="79">
                  <c:v>29946.91949437329</c:v>
                </c:pt>
                <c:pt idx="80">
                  <c:v>29946.91949437329</c:v>
                </c:pt>
                <c:pt idx="81">
                  <c:v>29946.91949437329</c:v>
                </c:pt>
                <c:pt idx="82">
                  <c:v>29946.91949437329</c:v>
                </c:pt>
                <c:pt idx="83">
                  <c:v>29946.91949437329</c:v>
                </c:pt>
                <c:pt idx="84">
                  <c:v>29946.91949437329</c:v>
                </c:pt>
                <c:pt idx="85">
                  <c:v>29946.91949437329</c:v>
                </c:pt>
                <c:pt idx="86">
                  <c:v>29946.91949437329</c:v>
                </c:pt>
                <c:pt idx="87">
                  <c:v>29946.91949437329</c:v>
                </c:pt>
                <c:pt idx="88">
                  <c:v>29946.91949437329</c:v>
                </c:pt>
                <c:pt idx="89">
                  <c:v>29946.91949437329</c:v>
                </c:pt>
                <c:pt idx="90">
                  <c:v>29946.91949437329</c:v>
                </c:pt>
                <c:pt idx="91">
                  <c:v>29946.91949437329</c:v>
                </c:pt>
                <c:pt idx="92">
                  <c:v>29946.91949437329</c:v>
                </c:pt>
                <c:pt idx="93">
                  <c:v>29946.91949437329</c:v>
                </c:pt>
                <c:pt idx="94">
                  <c:v>29946.91949437329</c:v>
                </c:pt>
                <c:pt idx="95">
                  <c:v>29946.91949437329</c:v>
                </c:pt>
                <c:pt idx="96">
                  <c:v>29946.91949437329</c:v>
                </c:pt>
                <c:pt idx="97">
                  <c:v>29946.91949437329</c:v>
                </c:pt>
                <c:pt idx="98">
                  <c:v>29946.91949437329</c:v>
                </c:pt>
                <c:pt idx="99">
                  <c:v>29946.91949437329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943416"/>
        <c:axId val="1894562968"/>
      </c:lineChart>
      <c:catAx>
        <c:axId val="1890943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456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94562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09434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49.45879870298516</c:v>
                </c:pt>
                <c:pt idx="1">
                  <c:v>26.81587173052452</c:v>
                </c:pt>
                <c:pt idx="2">
                  <c:v>-87.93286936528218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52.24333333333332</c:v>
                </c:pt>
                <c:pt idx="1">
                  <c:v>140.6511627906977</c:v>
                </c:pt>
                <c:pt idx="2">
                  <c:v>678.3333333333332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33.87093897902281</c:v>
                </c:pt>
                <c:pt idx="1">
                  <c:v>-121.3767441860466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56.81666666666668</c:v>
                </c:pt>
                <c:pt idx="1">
                  <c:v>21.87906976744184</c:v>
                </c:pt>
                <c:pt idx="2">
                  <c:v>-547.2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13.31592019577485</c:v>
                </c:pt>
                <c:pt idx="1">
                  <c:v>-26.28542618416265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35.45606060606062</c:v>
                </c:pt>
                <c:pt idx="1">
                  <c:v>-626.063424947146</c:v>
                </c:pt>
                <c:pt idx="2">
                  <c:v>105.5636363636364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24200"/>
        <c:axId val="-20916227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4.951103890311407</c:v>
                </c:pt>
                <c:pt idx="1">
                  <c:v>10.37681946531392</c:v>
                </c:pt>
                <c:pt idx="2">
                  <c:v>92.16538657582257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62.22222222222222</c:v>
                </c:pt>
                <c:pt idx="1">
                  <c:v>354.2325581395349</c:v>
                </c:pt>
                <c:pt idx="2">
                  <c:v>1643.333333333333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232.2904235727441</c:v>
                </c:pt>
                <c:pt idx="1">
                  <c:v>-720.1486316330465</c:v>
                </c:pt>
                <c:pt idx="2">
                  <c:v>-64.17679558011051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466.6666666666666</c:v>
                </c:pt>
                <c:pt idx="1">
                  <c:v>2656.744186046511</c:v>
                </c:pt>
                <c:pt idx="2">
                  <c:v>8160.0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29.86666666666667</c:v>
                </c:pt>
                <c:pt idx="1">
                  <c:v>-50.0093023255814</c:v>
                </c:pt>
                <c:pt idx="2">
                  <c:v>13440.0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149.3333333333333</c:v>
                </c:pt>
                <c:pt idx="1">
                  <c:v>-187.5348837209302</c:v>
                </c:pt>
                <c:pt idx="2">
                  <c:v>1248.0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49752"/>
        <c:axId val="-2093671336"/>
      </c:scatterChart>
      <c:valAx>
        <c:axId val="18748242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622760"/>
        <c:crosses val="autoZero"/>
        <c:crossBetween val="midCat"/>
      </c:valAx>
      <c:valAx>
        <c:axId val="-2091622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4824200"/>
        <c:crosses val="autoZero"/>
        <c:crossBetween val="midCat"/>
      </c:valAx>
      <c:valAx>
        <c:axId val="-2145549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-2093671336"/>
        <c:crosses val="autoZero"/>
        <c:crossBetween val="midCat"/>
      </c:valAx>
      <c:valAx>
        <c:axId val="-20936713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5497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1337.545101512585</c:v>
                </c:pt>
                <c:pt idx="1">
                  <c:v>1337.545101512585</c:v>
                </c:pt>
                <c:pt idx="2">
                  <c:v>1337.545101512585</c:v>
                </c:pt>
                <c:pt idx="3">
                  <c:v>1337.545101512585</c:v>
                </c:pt>
                <c:pt idx="4">
                  <c:v>1337.545101512585</c:v>
                </c:pt>
                <c:pt idx="5">
                  <c:v>1337.545101512585</c:v>
                </c:pt>
                <c:pt idx="6">
                  <c:v>1337.545101512585</c:v>
                </c:pt>
                <c:pt idx="7">
                  <c:v>1337.545101512585</c:v>
                </c:pt>
                <c:pt idx="8">
                  <c:v>1337.545101512585</c:v>
                </c:pt>
                <c:pt idx="9">
                  <c:v>1337.545101512585</c:v>
                </c:pt>
                <c:pt idx="10">
                  <c:v>1337.545101512585</c:v>
                </c:pt>
                <c:pt idx="11">
                  <c:v>1337.545101512585</c:v>
                </c:pt>
                <c:pt idx="12">
                  <c:v>1337.545101512585</c:v>
                </c:pt>
                <c:pt idx="13">
                  <c:v>1337.545101512585</c:v>
                </c:pt>
                <c:pt idx="14">
                  <c:v>1337.545101512585</c:v>
                </c:pt>
                <c:pt idx="15">
                  <c:v>1337.545101512585</c:v>
                </c:pt>
                <c:pt idx="16">
                  <c:v>1337.545101512585</c:v>
                </c:pt>
                <c:pt idx="17">
                  <c:v>1337.545101512585</c:v>
                </c:pt>
                <c:pt idx="18">
                  <c:v>1337.545101512585</c:v>
                </c:pt>
                <c:pt idx="19">
                  <c:v>1337.545101512585</c:v>
                </c:pt>
                <c:pt idx="20">
                  <c:v>1337.545101512585</c:v>
                </c:pt>
                <c:pt idx="21">
                  <c:v>1337.545101512585</c:v>
                </c:pt>
                <c:pt idx="22">
                  <c:v>1337.545101512585</c:v>
                </c:pt>
                <c:pt idx="23">
                  <c:v>1337.545101512585</c:v>
                </c:pt>
                <c:pt idx="24">
                  <c:v>1362.274500864078</c:v>
                </c:pt>
                <c:pt idx="25">
                  <c:v>1411.733299567063</c:v>
                </c:pt>
                <c:pt idx="26">
                  <c:v>1461.192098270048</c:v>
                </c:pt>
                <c:pt idx="27">
                  <c:v>1510.650896973033</c:v>
                </c:pt>
                <c:pt idx="28">
                  <c:v>1560.109695676019</c:v>
                </c:pt>
                <c:pt idx="29">
                  <c:v>1609.568494379004</c:v>
                </c:pt>
                <c:pt idx="30">
                  <c:v>1659.02729308199</c:v>
                </c:pt>
                <c:pt idx="31">
                  <c:v>1708.486091784974</c:v>
                </c:pt>
                <c:pt idx="32">
                  <c:v>1757.944890487959</c:v>
                </c:pt>
                <c:pt idx="33">
                  <c:v>1807.403689190945</c:v>
                </c:pt>
                <c:pt idx="34">
                  <c:v>1856.86248789393</c:v>
                </c:pt>
                <c:pt idx="35">
                  <c:v>1906.321286596915</c:v>
                </c:pt>
                <c:pt idx="36">
                  <c:v>1955.7800852999</c:v>
                </c:pt>
                <c:pt idx="37">
                  <c:v>2005.238884002885</c:v>
                </c:pt>
                <c:pt idx="38">
                  <c:v>2054.69768270587</c:v>
                </c:pt>
                <c:pt idx="39">
                  <c:v>2104.156481408856</c:v>
                </c:pt>
                <c:pt idx="40">
                  <c:v>2153.615280111841</c:v>
                </c:pt>
                <c:pt idx="41">
                  <c:v>2203.074078814826</c:v>
                </c:pt>
                <c:pt idx="42">
                  <c:v>2252.532877517811</c:v>
                </c:pt>
                <c:pt idx="43">
                  <c:v>2301.991676220796</c:v>
                </c:pt>
                <c:pt idx="44">
                  <c:v>2351.450474923781</c:v>
                </c:pt>
                <c:pt idx="45">
                  <c:v>2400.909273626767</c:v>
                </c:pt>
                <c:pt idx="46">
                  <c:v>2450.368072329752</c:v>
                </c:pt>
                <c:pt idx="47">
                  <c:v>2499.826871032737</c:v>
                </c:pt>
                <c:pt idx="48">
                  <c:v>2549.285669735722</c:v>
                </c:pt>
                <c:pt idx="49">
                  <c:v>2598.744468438707</c:v>
                </c:pt>
                <c:pt idx="50">
                  <c:v>2648.203267141692</c:v>
                </c:pt>
                <c:pt idx="51">
                  <c:v>2697.662065844677</c:v>
                </c:pt>
                <c:pt idx="52">
                  <c:v>2747.120864547663</c:v>
                </c:pt>
                <c:pt idx="53">
                  <c:v>2796.579663250648</c:v>
                </c:pt>
                <c:pt idx="54">
                  <c:v>2846.038461953633</c:v>
                </c:pt>
                <c:pt idx="55">
                  <c:v>2895.497260656618</c:v>
                </c:pt>
                <c:pt idx="56">
                  <c:v>2944.956059359603</c:v>
                </c:pt>
                <c:pt idx="57">
                  <c:v>2994.414858062588</c:v>
                </c:pt>
                <c:pt idx="58">
                  <c:v>3043.873656765573</c:v>
                </c:pt>
                <c:pt idx="59">
                  <c:v>3093.332455468559</c:v>
                </c:pt>
                <c:pt idx="60">
                  <c:v>3131.469790685313</c:v>
                </c:pt>
                <c:pt idx="61">
                  <c:v>3158.285662415838</c:v>
                </c:pt>
                <c:pt idx="62">
                  <c:v>3185.101534146363</c:v>
                </c:pt>
                <c:pt idx="63">
                  <c:v>3211.917405876887</c:v>
                </c:pt>
                <c:pt idx="64">
                  <c:v>3238.733277607412</c:v>
                </c:pt>
                <c:pt idx="65">
                  <c:v>3265.549149337936</c:v>
                </c:pt>
                <c:pt idx="66">
                  <c:v>3292.365021068461</c:v>
                </c:pt>
                <c:pt idx="67">
                  <c:v>3319.180892798985</c:v>
                </c:pt>
                <c:pt idx="68">
                  <c:v>3345.99676452951</c:v>
                </c:pt>
                <c:pt idx="69">
                  <c:v>3372.812636260034</c:v>
                </c:pt>
                <c:pt idx="70">
                  <c:v>3399.628507990559</c:v>
                </c:pt>
                <c:pt idx="71">
                  <c:v>3426.444379721083</c:v>
                </c:pt>
                <c:pt idx="72">
                  <c:v>3453.260251451608</c:v>
                </c:pt>
                <c:pt idx="73">
                  <c:v>3480.076123182133</c:v>
                </c:pt>
                <c:pt idx="74">
                  <c:v>3506.891994912657</c:v>
                </c:pt>
                <c:pt idx="75">
                  <c:v>3533.707866643182</c:v>
                </c:pt>
                <c:pt idx="76">
                  <c:v>3560.523738373706</c:v>
                </c:pt>
                <c:pt idx="77">
                  <c:v>3587.339610104231</c:v>
                </c:pt>
                <c:pt idx="78">
                  <c:v>3614.155481834755</c:v>
                </c:pt>
                <c:pt idx="79">
                  <c:v>3640.97135356528</c:v>
                </c:pt>
                <c:pt idx="80">
                  <c:v>3667.787225295804</c:v>
                </c:pt>
                <c:pt idx="81">
                  <c:v>3694.603097026329</c:v>
                </c:pt>
                <c:pt idx="82">
                  <c:v>3606.670227661046</c:v>
                </c:pt>
                <c:pt idx="83">
                  <c:v>3518.737358295764</c:v>
                </c:pt>
                <c:pt idx="84">
                  <c:v>3430.804488930482</c:v>
                </c:pt>
                <c:pt idx="85">
                  <c:v>3342.8716195652</c:v>
                </c:pt>
                <c:pt idx="86">
                  <c:v>3254.938750199918</c:v>
                </c:pt>
                <c:pt idx="87">
                  <c:v>3167.005880834636</c:v>
                </c:pt>
                <c:pt idx="88">
                  <c:v>3079.073011469353</c:v>
                </c:pt>
                <c:pt idx="89">
                  <c:v>2991.140142104071</c:v>
                </c:pt>
                <c:pt idx="90">
                  <c:v>2903.20727273879</c:v>
                </c:pt>
                <c:pt idx="91">
                  <c:v>2815.274403373507</c:v>
                </c:pt>
                <c:pt idx="92">
                  <c:v>2727.341534008224</c:v>
                </c:pt>
                <c:pt idx="93">
                  <c:v>2639.408664642942</c:v>
                </c:pt>
                <c:pt idx="94">
                  <c:v>2551.47579527766</c:v>
                </c:pt>
                <c:pt idx="95">
                  <c:v>2463.542925912378</c:v>
                </c:pt>
                <c:pt idx="96">
                  <c:v>2569.902925912378</c:v>
                </c:pt>
                <c:pt idx="97">
                  <c:v>2676.262925912378</c:v>
                </c:pt>
                <c:pt idx="98">
                  <c:v>2782.622925912378</c:v>
                </c:pt>
                <c:pt idx="99">
                  <c:v>2888.982925912378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9111.35</c:v>
                </c:pt>
                <c:pt idx="1">
                  <c:v>8771.09</c:v>
                </c:pt>
                <c:pt idx="2">
                  <c:v>8430.83</c:v>
                </c:pt>
                <c:pt idx="3">
                  <c:v>8090.57</c:v>
                </c:pt>
                <c:pt idx="4">
                  <c:v>7750.31</c:v>
                </c:pt>
                <c:pt idx="5">
                  <c:v>7410.05</c:v>
                </c:pt>
                <c:pt idx="6">
                  <c:v>7069.790000000001</c:v>
                </c:pt>
                <c:pt idx="7">
                  <c:v>6729.530000000001</c:v>
                </c:pt>
                <c:pt idx="8">
                  <c:v>6389.27</c:v>
                </c:pt>
                <c:pt idx="9">
                  <c:v>6049.01</c:v>
                </c:pt>
                <c:pt idx="10">
                  <c:v>5708.75</c:v>
                </c:pt>
                <c:pt idx="11">
                  <c:v>5368.49</c:v>
                </c:pt>
                <c:pt idx="12">
                  <c:v>5028.23</c:v>
                </c:pt>
                <c:pt idx="13">
                  <c:v>4687.97</c:v>
                </c:pt>
                <c:pt idx="14">
                  <c:v>4347.71</c:v>
                </c:pt>
                <c:pt idx="15">
                  <c:v>4007.45</c:v>
                </c:pt>
                <c:pt idx="16">
                  <c:v>3667.19</c:v>
                </c:pt>
                <c:pt idx="17">
                  <c:v>3326.93</c:v>
                </c:pt>
                <c:pt idx="18">
                  <c:v>2986.67</c:v>
                </c:pt>
                <c:pt idx="19">
                  <c:v>2646.41</c:v>
                </c:pt>
                <c:pt idx="20">
                  <c:v>2306.15</c:v>
                </c:pt>
                <c:pt idx="21">
                  <c:v>1965.89</c:v>
                </c:pt>
                <c:pt idx="22">
                  <c:v>1625.63</c:v>
                </c:pt>
                <c:pt idx="23">
                  <c:v>1285.37</c:v>
                </c:pt>
                <c:pt idx="24">
                  <c:v>1141.361666666667</c:v>
                </c:pt>
                <c:pt idx="25">
                  <c:v>1193.605</c:v>
                </c:pt>
                <c:pt idx="26">
                  <c:v>1245.848333333334</c:v>
                </c:pt>
                <c:pt idx="27">
                  <c:v>1298.091666666667</c:v>
                </c:pt>
                <c:pt idx="28">
                  <c:v>1350.335</c:v>
                </c:pt>
                <c:pt idx="29">
                  <c:v>1402.578333333334</c:v>
                </c:pt>
                <c:pt idx="30">
                  <c:v>1454.821666666667</c:v>
                </c:pt>
                <c:pt idx="31">
                  <c:v>1507.065</c:v>
                </c:pt>
                <c:pt idx="32">
                  <c:v>1559.308333333333</c:v>
                </c:pt>
                <c:pt idx="33">
                  <c:v>1611.551666666667</c:v>
                </c:pt>
                <c:pt idx="34">
                  <c:v>1663.795</c:v>
                </c:pt>
                <c:pt idx="35">
                  <c:v>1716.038333333333</c:v>
                </c:pt>
                <c:pt idx="36">
                  <c:v>1768.281666666667</c:v>
                </c:pt>
                <c:pt idx="37">
                  <c:v>1820.525</c:v>
                </c:pt>
                <c:pt idx="38">
                  <c:v>1872.768333333333</c:v>
                </c:pt>
                <c:pt idx="39">
                  <c:v>1925.011666666667</c:v>
                </c:pt>
                <c:pt idx="40">
                  <c:v>1977.255</c:v>
                </c:pt>
                <c:pt idx="41">
                  <c:v>2029.498333333333</c:v>
                </c:pt>
                <c:pt idx="42">
                  <c:v>2081.741666666667</c:v>
                </c:pt>
                <c:pt idx="43">
                  <c:v>2133.985</c:v>
                </c:pt>
                <c:pt idx="44">
                  <c:v>2186.228333333333</c:v>
                </c:pt>
                <c:pt idx="45">
                  <c:v>2238.471666666667</c:v>
                </c:pt>
                <c:pt idx="46">
                  <c:v>2290.715</c:v>
                </c:pt>
                <c:pt idx="47">
                  <c:v>2342.958333333333</c:v>
                </c:pt>
                <c:pt idx="48">
                  <c:v>2395.201666666667</c:v>
                </c:pt>
                <c:pt idx="49">
                  <c:v>2447.445</c:v>
                </c:pt>
                <c:pt idx="50">
                  <c:v>2499.688333333333</c:v>
                </c:pt>
                <c:pt idx="51">
                  <c:v>2551.931666666666</c:v>
                </c:pt>
                <c:pt idx="52">
                  <c:v>2604.175</c:v>
                </c:pt>
                <c:pt idx="53">
                  <c:v>2656.418333333333</c:v>
                </c:pt>
                <c:pt idx="54">
                  <c:v>2708.661666666667</c:v>
                </c:pt>
                <c:pt idx="55">
                  <c:v>2760.905</c:v>
                </c:pt>
                <c:pt idx="56">
                  <c:v>2813.148333333333</c:v>
                </c:pt>
                <c:pt idx="57">
                  <c:v>2865.391666666666</c:v>
                </c:pt>
                <c:pt idx="58">
                  <c:v>2917.635</c:v>
                </c:pt>
                <c:pt idx="59">
                  <c:v>2969.878333333333</c:v>
                </c:pt>
                <c:pt idx="60">
                  <c:v>3066.325581395349</c:v>
                </c:pt>
                <c:pt idx="61">
                  <c:v>3206.976744186047</c:v>
                </c:pt>
                <c:pt idx="62">
                  <c:v>3347.627906976744</c:v>
                </c:pt>
                <c:pt idx="63">
                  <c:v>3488.279069767442</c:v>
                </c:pt>
                <c:pt idx="64">
                  <c:v>3628.93023255814</c:v>
                </c:pt>
                <c:pt idx="65">
                  <c:v>3769.581395348837</c:v>
                </c:pt>
                <c:pt idx="66">
                  <c:v>3910.232558139535</c:v>
                </c:pt>
                <c:pt idx="67">
                  <c:v>4050.883720930233</c:v>
                </c:pt>
                <c:pt idx="68">
                  <c:v>4191.53488372093</c:v>
                </c:pt>
                <c:pt idx="69">
                  <c:v>4332.186046511627</c:v>
                </c:pt>
                <c:pt idx="70">
                  <c:v>4472.837209302325</c:v>
                </c:pt>
                <c:pt idx="71">
                  <c:v>4613.488372093023</c:v>
                </c:pt>
                <c:pt idx="72">
                  <c:v>4754.13953488372</c:v>
                </c:pt>
                <c:pt idx="73">
                  <c:v>4894.790697674418</c:v>
                </c:pt>
                <c:pt idx="74">
                  <c:v>5035.441860465116</c:v>
                </c:pt>
                <c:pt idx="75">
                  <c:v>5176.093023255813</c:v>
                </c:pt>
                <c:pt idx="76">
                  <c:v>5316.744186046511</c:v>
                </c:pt>
                <c:pt idx="77">
                  <c:v>5457.395348837209</c:v>
                </c:pt>
                <c:pt idx="78">
                  <c:v>5598.046511627906</c:v>
                </c:pt>
                <c:pt idx="79">
                  <c:v>5738.697674418604</c:v>
                </c:pt>
                <c:pt idx="80">
                  <c:v>5879.348837209302</c:v>
                </c:pt>
                <c:pt idx="81">
                  <c:v>6020.0</c:v>
                </c:pt>
                <c:pt idx="82">
                  <c:v>6698.333333333333</c:v>
                </c:pt>
                <c:pt idx="83">
                  <c:v>7376.666666666666</c:v>
                </c:pt>
                <c:pt idx="84">
                  <c:v>8055.0</c:v>
                </c:pt>
                <c:pt idx="85">
                  <c:v>8733.333333333332</c:v>
                </c:pt>
                <c:pt idx="86">
                  <c:v>9411.666666666666</c:v>
                </c:pt>
                <c:pt idx="87">
                  <c:v>10090.0</c:v>
                </c:pt>
                <c:pt idx="88">
                  <c:v>10768.33333333333</c:v>
                </c:pt>
                <c:pt idx="89">
                  <c:v>11446.66666666667</c:v>
                </c:pt>
                <c:pt idx="90">
                  <c:v>12125.0</c:v>
                </c:pt>
                <c:pt idx="91">
                  <c:v>12803.33333333333</c:v>
                </c:pt>
                <c:pt idx="92">
                  <c:v>13481.66666666667</c:v>
                </c:pt>
                <c:pt idx="93">
                  <c:v>14160.0</c:v>
                </c:pt>
                <c:pt idx="94">
                  <c:v>14838.33333333333</c:v>
                </c:pt>
                <c:pt idx="95">
                  <c:v>15516.66666666667</c:v>
                </c:pt>
                <c:pt idx="96">
                  <c:v>16241.52666666667</c:v>
                </c:pt>
                <c:pt idx="97">
                  <c:v>16966.38666666667</c:v>
                </c:pt>
                <c:pt idx="98">
                  <c:v>17691.24666666667</c:v>
                </c:pt>
                <c:pt idx="99">
                  <c:v>18416.10666666667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2.475551945155704</c:v>
                </c:pt>
                <c:pt idx="25">
                  <c:v>7.426655835467111</c:v>
                </c:pt>
                <c:pt idx="26">
                  <c:v>12.37775972577852</c:v>
                </c:pt>
                <c:pt idx="27">
                  <c:v>17.32886361608993</c:v>
                </c:pt>
                <c:pt idx="28">
                  <c:v>22.27996750640133</c:v>
                </c:pt>
                <c:pt idx="29">
                  <c:v>27.23107139671274</c:v>
                </c:pt>
                <c:pt idx="30">
                  <c:v>32.18217528702415</c:v>
                </c:pt>
                <c:pt idx="31">
                  <c:v>37.13327917733556</c:v>
                </c:pt>
                <c:pt idx="32">
                  <c:v>42.08438306764696</c:v>
                </c:pt>
                <c:pt idx="33">
                  <c:v>47.03548695795837</c:v>
                </c:pt>
                <c:pt idx="34">
                  <c:v>51.98659084826977</c:v>
                </c:pt>
                <c:pt idx="35">
                  <c:v>56.93769473858119</c:v>
                </c:pt>
                <c:pt idx="36">
                  <c:v>61.88879862889259</c:v>
                </c:pt>
                <c:pt idx="37">
                  <c:v>66.839902519204</c:v>
                </c:pt>
                <c:pt idx="38">
                  <c:v>71.7910064095154</c:v>
                </c:pt>
                <c:pt idx="39">
                  <c:v>76.74211029982681</c:v>
                </c:pt>
                <c:pt idx="40">
                  <c:v>81.69321419013822</c:v>
                </c:pt>
                <c:pt idx="41">
                  <c:v>86.64431808044964</c:v>
                </c:pt>
                <c:pt idx="42">
                  <c:v>91.59542197076104</c:v>
                </c:pt>
                <c:pt idx="43">
                  <c:v>96.54652586107245</c:v>
                </c:pt>
                <c:pt idx="44">
                  <c:v>101.4976297513839</c:v>
                </c:pt>
                <c:pt idx="45">
                  <c:v>106.4487336416953</c:v>
                </c:pt>
                <c:pt idx="46">
                  <c:v>111.3998375320067</c:v>
                </c:pt>
                <c:pt idx="47">
                  <c:v>116.3509414223181</c:v>
                </c:pt>
                <c:pt idx="48">
                  <c:v>121.3020453126295</c:v>
                </c:pt>
                <c:pt idx="49">
                  <c:v>126.2531492029409</c:v>
                </c:pt>
                <c:pt idx="50">
                  <c:v>131.2042530932523</c:v>
                </c:pt>
                <c:pt idx="51">
                  <c:v>136.1553569835637</c:v>
                </c:pt>
                <c:pt idx="52">
                  <c:v>141.1064608738751</c:v>
                </c:pt>
                <c:pt idx="53">
                  <c:v>146.0575647641865</c:v>
                </c:pt>
                <c:pt idx="54">
                  <c:v>151.0086686544979</c:v>
                </c:pt>
                <c:pt idx="55">
                  <c:v>155.9597725448093</c:v>
                </c:pt>
                <c:pt idx="56">
                  <c:v>160.9108764351207</c:v>
                </c:pt>
                <c:pt idx="57">
                  <c:v>165.8619803254321</c:v>
                </c:pt>
                <c:pt idx="58">
                  <c:v>170.8130842157436</c:v>
                </c:pt>
                <c:pt idx="59">
                  <c:v>175.764188106055</c:v>
                </c:pt>
                <c:pt idx="60">
                  <c:v>183.4281497838676</c:v>
                </c:pt>
                <c:pt idx="61">
                  <c:v>193.8049692491816</c:v>
                </c:pt>
                <c:pt idx="62">
                  <c:v>204.1817887144955</c:v>
                </c:pt>
                <c:pt idx="63">
                  <c:v>214.5586081798094</c:v>
                </c:pt>
                <c:pt idx="64">
                  <c:v>224.9354276451233</c:v>
                </c:pt>
                <c:pt idx="65">
                  <c:v>235.3122471104372</c:v>
                </c:pt>
                <c:pt idx="66">
                  <c:v>245.6890665757512</c:v>
                </c:pt>
                <c:pt idx="67">
                  <c:v>256.0658860410651</c:v>
                </c:pt>
                <c:pt idx="68">
                  <c:v>266.442705506379</c:v>
                </c:pt>
                <c:pt idx="69">
                  <c:v>276.8195249716929</c:v>
                </c:pt>
                <c:pt idx="70">
                  <c:v>287.1963444370069</c:v>
                </c:pt>
                <c:pt idx="71">
                  <c:v>297.5731639023208</c:v>
                </c:pt>
                <c:pt idx="72">
                  <c:v>307.9499833676347</c:v>
                </c:pt>
                <c:pt idx="73">
                  <c:v>318.3268028329486</c:v>
                </c:pt>
                <c:pt idx="74">
                  <c:v>328.7036222982625</c:v>
                </c:pt>
                <c:pt idx="75">
                  <c:v>339.0804417635765</c:v>
                </c:pt>
                <c:pt idx="76">
                  <c:v>349.4572612288904</c:v>
                </c:pt>
                <c:pt idx="77">
                  <c:v>359.8340806942043</c:v>
                </c:pt>
                <c:pt idx="78">
                  <c:v>370.2109001595182</c:v>
                </c:pt>
                <c:pt idx="79">
                  <c:v>380.5877196248322</c:v>
                </c:pt>
                <c:pt idx="80">
                  <c:v>390.9645390901461</c:v>
                </c:pt>
                <c:pt idx="81">
                  <c:v>401.34135855546</c:v>
                </c:pt>
                <c:pt idx="82">
                  <c:v>493.5067451312826</c:v>
                </c:pt>
                <c:pt idx="83">
                  <c:v>585.672131707105</c:v>
                </c:pt>
                <c:pt idx="84">
                  <c:v>677.8375182829277</c:v>
                </c:pt>
                <c:pt idx="85">
                  <c:v>770.0029048587503</c:v>
                </c:pt>
                <c:pt idx="86">
                  <c:v>862.1682914345729</c:v>
                </c:pt>
                <c:pt idx="87">
                  <c:v>954.3336780103953</c:v>
                </c:pt>
                <c:pt idx="88">
                  <c:v>1046.499064586218</c:v>
                </c:pt>
                <c:pt idx="89">
                  <c:v>1138.664451162041</c:v>
                </c:pt>
                <c:pt idx="90">
                  <c:v>1230.829837737863</c:v>
                </c:pt>
                <c:pt idx="91">
                  <c:v>1322.995224313686</c:v>
                </c:pt>
                <c:pt idx="92">
                  <c:v>1415.160610889508</c:v>
                </c:pt>
                <c:pt idx="93">
                  <c:v>1507.325997465331</c:v>
                </c:pt>
                <c:pt idx="94">
                  <c:v>1599.491384041153</c:v>
                </c:pt>
                <c:pt idx="95">
                  <c:v>1691.656770616976</c:v>
                </c:pt>
                <c:pt idx="96">
                  <c:v>1700.087770616976</c:v>
                </c:pt>
                <c:pt idx="97">
                  <c:v>1708.518770616976</c:v>
                </c:pt>
                <c:pt idx="98">
                  <c:v>1716.949770616976</c:v>
                </c:pt>
                <c:pt idx="99">
                  <c:v>1725.380770616976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31.11111111111111</c:v>
                </c:pt>
                <c:pt idx="25">
                  <c:v>93.33333333333333</c:v>
                </c:pt>
                <c:pt idx="26">
                  <c:v>155.5555555555555</c:v>
                </c:pt>
                <c:pt idx="27">
                  <c:v>217.7777777777778</c:v>
                </c:pt>
                <c:pt idx="28">
                  <c:v>280.0</c:v>
                </c:pt>
                <c:pt idx="29">
                  <c:v>342.2222222222222</c:v>
                </c:pt>
                <c:pt idx="30">
                  <c:v>404.4444444444445</c:v>
                </c:pt>
                <c:pt idx="31">
                  <c:v>466.6666666666666</c:v>
                </c:pt>
                <c:pt idx="32">
                  <c:v>528.888888888889</c:v>
                </c:pt>
                <c:pt idx="33">
                  <c:v>591.1111111111111</c:v>
                </c:pt>
                <c:pt idx="34">
                  <c:v>653.3333333333333</c:v>
                </c:pt>
                <c:pt idx="35">
                  <c:v>715.5555555555555</c:v>
                </c:pt>
                <c:pt idx="36">
                  <c:v>777.7777777777777</c:v>
                </c:pt>
                <c:pt idx="37">
                  <c:v>840.0</c:v>
                </c:pt>
                <c:pt idx="38">
                  <c:v>902.2222222222222</c:v>
                </c:pt>
                <c:pt idx="39">
                  <c:v>964.4444444444445</c:v>
                </c:pt>
                <c:pt idx="40">
                  <c:v>1026.666666666667</c:v>
                </c:pt>
                <c:pt idx="41">
                  <c:v>1088.888888888889</c:v>
                </c:pt>
                <c:pt idx="42">
                  <c:v>1151.111111111111</c:v>
                </c:pt>
                <c:pt idx="43">
                  <c:v>1213.333333333333</c:v>
                </c:pt>
                <c:pt idx="44">
                  <c:v>1275.555555555555</c:v>
                </c:pt>
                <c:pt idx="45">
                  <c:v>1337.777777777778</c:v>
                </c:pt>
                <c:pt idx="46">
                  <c:v>1400.0</c:v>
                </c:pt>
                <c:pt idx="47">
                  <c:v>1462.222222222222</c:v>
                </c:pt>
                <c:pt idx="48">
                  <c:v>1524.444444444444</c:v>
                </c:pt>
                <c:pt idx="49">
                  <c:v>1586.666666666667</c:v>
                </c:pt>
                <c:pt idx="50">
                  <c:v>1648.888888888889</c:v>
                </c:pt>
                <c:pt idx="51">
                  <c:v>1711.111111111111</c:v>
                </c:pt>
                <c:pt idx="52">
                  <c:v>1773.333333333333</c:v>
                </c:pt>
                <c:pt idx="53">
                  <c:v>1835.555555555555</c:v>
                </c:pt>
                <c:pt idx="54">
                  <c:v>1897.777777777778</c:v>
                </c:pt>
                <c:pt idx="55">
                  <c:v>1960.0</c:v>
                </c:pt>
                <c:pt idx="56">
                  <c:v>2022.222222222222</c:v>
                </c:pt>
                <c:pt idx="57">
                  <c:v>2084.444444444444</c:v>
                </c:pt>
                <c:pt idx="58">
                  <c:v>2146.666666666667</c:v>
                </c:pt>
                <c:pt idx="59">
                  <c:v>2208.888888888889</c:v>
                </c:pt>
                <c:pt idx="60">
                  <c:v>2417.116279069768</c:v>
                </c:pt>
                <c:pt idx="61">
                  <c:v>2771.348837209302</c:v>
                </c:pt>
                <c:pt idx="62">
                  <c:v>3125.581395348837</c:v>
                </c:pt>
                <c:pt idx="63">
                  <c:v>3479.813953488372</c:v>
                </c:pt>
                <c:pt idx="64">
                  <c:v>3834.046511627907</c:v>
                </c:pt>
                <c:pt idx="65">
                  <c:v>4188.279069767441</c:v>
                </c:pt>
                <c:pt idx="66">
                  <c:v>4542.511627906977</c:v>
                </c:pt>
                <c:pt idx="67">
                  <c:v>4896.744186046511</c:v>
                </c:pt>
                <c:pt idx="68">
                  <c:v>5250.976744186047</c:v>
                </c:pt>
                <c:pt idx="69">
                  <c:v>5605.209302325582</c:v>
                </c:pt>
                <c:pt idx="70">
                  <c:v>5959.441860465116</c:v>
                </c:pt>
                <c:pt idx="71">
                  <c:v>6313.674418604651</c:v>
                </c:pt>
                <c:pt idx="72">
                  <c:v>6667.906976744186</c:v>
                </c:pt>
                <c:pt idx="73">
                  <c:v>7022.13953488372</c:v>
                </c:pt>
                <c:pt idx="74">
                  <c:v>7376.372093023256</c:v>
                </c:pt>
                <c:pt idx="75">
                  <c:v>7730.60465116279</c:v>
                </c:pt>
                <c:pt idx="76">
                  <c:v>8084.837209302325</c:v>
                </c:pt>
                <c:pt idx="77">
                  <c:v>8439.06976744186</c:v>
                </c:pt>
                <c:pt idx="78">
                  <c:v>8793.302325581395</c:v>
                </c:pt>
                <c:pt idx="79">
                  <c:v>9147.534883720931</c:v>
                </c:pt>
                <c:pt idx="80">
                  <c:v>9501.767441860465</c:v>
                </c:pt>
                <c:pt idx="81">
                  <c:v>9856.0</c:v>
                </c:pt>
                <c:pt idx="82">
                  <c:v>11499.33333333333</c:v>
                </c:pt>
                <c:pt idx="83">
                  <c:v>13142.66666666667</c:v>
                </c:pt>
                <c:pt idx="84">
                  <c:v>14786.0</c:v>
                </c:pt>
                <c:pt idx="85">
                  <c:v>16429.33333333333</c:v>
                </c:pt>
                <c:pt idx="86">
                  <c:v>18072.66666666666</c:v>
                </c:pt>
                <c:pt idx="87">
                  <c:v>19716.0</c:v>
                </c:pt>
                <c:pt idx="88">
                  <c:v>21359.33333333333</c:v>
                </c:pt>
                <c:pt idx="89">
                  <c:v>23002.66666666666</c:v>
                </c:pt>
                <c:pt idx="90">
                  <c:v>24646.0</c:v>
                </c:pt>
                <c:pt idx="91">
                  <c:v>26289.33333333333</c:v>
                </c:pt>
                <c:pt idx="92">
                  <c:v>27932.66666666666</c:v>
                </c:pt>
                <c:pt idx="93">
                  <c:v>29576.0</c:v>
                </c:pt>
                <c:pt idx="94">
                  <c:v>31219.33333333333</c:v>
                </c:pt>
                <c:pt idx="95">
                  <c:v>32862.66666666666</c:v>
                </c:pt>
                <c:pt idx="96">
                  <c:v>32862.66666666666</c:v>
                </c:pt>
                <c:pt idx="97">
                  <c:v>32862.66666666666</c:v>
                </c:pt>
                <c:pt idx="98">
                  <c:v>32862.66666666666</c:v>
                </c:pt>
                <c:pt idx="99">
                  <c:v>32862.66666666666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1390.24619675518</c:v>
                </c:pt>
                <c:pt idx="1">
                  <c:v>1390.24619675518</c:v>
                </c:pt>
                <c:pt idx="2">
                  <c:v>1390.24619675518</c:v>
                </c:pt>
                <c:pt idx="3">
                  <c:v>1390.24619675518</c:v>
                </c:pt>
                <c:pt idx="4">
                  <c:v>1390.24619675518</c:v>
                </c:pt>
                <c:pt idx="5">
                  <c:v>1390.24619675518</c:v>
                </c:pt>
                <c:pt idx="6">
                  <c:v>1390.24619675518</c:v>
                </c:pt>
                <c:pt idx="7">
                  <c:v>1390.24619675518</c:v>
                </c:pt>
                <c:pt idx="8">
                  <c:v>1390.24619675518</c:v>
                </c:pt>
                <c:pt idx="9">
                  <c:v>1390.24619675518</c:v>
                </c:pt>
                <c:pt idx="10">
                  <c:v>1390.24619675518</c:v>
                </c:pt>
                <c:pt idx="11">
                  <c:v>1390.24619675518</c:v>
                </c:pt>
                <c:pt idx="12">
                  <c:v>1390.24619675518</c:v>
                </c:pt>
                <c:pt idx="13">
                  <c:v>1390.24619675518</c:v>
                </c:pt>
                <c:pt idx="14">
                  <c:v>1390.24619675518</c:v>
                </c:pt>
                <c:pt idx="15">
                  <c:v>1390.24619675518</c:v>
                </c:pt>
                <c:pt idx="16">
                  <c:v>1390.24619675518</c:v>
                </c:pt>
                <c:pt idx="17">
                  <c:v>1390.24619675518</c:v>
                </c:pt>
                <c:pt idx="18">
                  <c:v>1390.24619675518</c:v>
                </c:pt>
                <c:pt idx="19">
                  <c:v>1390.24619675518</c:v>
                </c:pt>
                <c:pt idx="20">
                  <c:v>1390.24619675518</c:v>
                </c:pt>
                <c:pt idx="21">
                  <c:v>1390.24619675518</c:v>
                </c:pt>
                <c:pt idx="22">
                  <c:v>1390.24619675518</c:v>
                </c:pt>
                <c:pt idx="23">
                  <c:v>1390.24619675518</c:v>
                </c:pt>
                <c:pt idx="24">
                  <c:v>1407.181666244691</c:v>
                </c:pt>
                <c:pt idx="25">
                  <c:v>1441.052605223714</c:v>
                </c:pt>
                <c:pt idx="26">
                  <c:v>1474.923544202737</c:v>
                </c:pt>
                <c:pt idx="27">
                  <c:v>1508.794483181759</c:v>
                </c:pt>
                <c:pt idx="28">
                  <c:v>1542.665422160782</c:v>
                </c:pt>
                <c:pt idx="29">
                  <c:v>1576.536361139805</c:v>
                </c:pt>
                <c:pt idx="30">
                  <c:v>1610.407300118828</c:v>
                </c:pt>
                <c:pt idx="31">
                  <c:v>1644.278239097851</c:v>
                </c:pt>
                <c:pt idx="32">
                  <c:v>1678.149178076874</c:v>
                </c:pt>
                <c:pt idx="33">
                  <c:v>1712.020117055896</c:v>
                </c:pt>
                <c:pt idx="34">
                  <c:v>1745.891056034919</c:v>
                </c:pt>
                <c:pt idx="35">
                  <c:v>1779.761995013942</c:v>
                </c:pt>
                <c:pt idx="36">
                  <c:v>1813.632933992965</c:v>
                </c:pt>
                <c:pt idx="37">
                  <c:v>1847.503872971988</c:v>
                </c:pt>
                <c:pt idx="38">
                  <c:v>1881.374811951011</c:v>
                </c:pt>
                <c:pt idx="39">
                  <c:v>1915.245750930033</c:v>
                </c:pt>
                <c:pt idx="40">
                  <c:v>1949.116689909056</c:v>
                </c:pt>
                <c:pt idx="41">
                  <c:v>1982.987628888079</c:v>
                </c:pt>
                <c:pt idx="42">
                  <c:v>2016.858567867102</c:v>
                </c:pt>
                <c:pt idx="43">
                  <c:v>2050.729506846124</c:v>
                </c:pt>
                <c:pt idx="44">
                  <c:v>2084.600445825147</c:v>
                </c:pt>
                <c:pt idx="45">
                  <c:v>2118.47138480417</c:v>
                </c:pt>
                <c:pt idx="46">
                  <c:v>2152.342323783193</c:v>
                </c:pt>
                <c:pt idx="47">
                  <c:v>2186.213262762216</c:v>
                </c:pt>
                <c:pt idx="48">
                  <c:v>2220.084201741239</c:v>
                </c:pt>
                <c:pt idx="49">
                  <c:v>2253.955140720261</c:v>
                </c:pt>
                <c:pt idx="50">
                  <c:v>2287.826079699284</c:v>
                </c:pt>
                <c:pt idx="51">
                  <c:v>2321.697018678307</c:v>
                </c:pt>
                <c:pt idx="52">
                  <c:v>2355.56795765733</c:v>
                </c:pt>
                <c:pt idx="53">
                  <c:v>2389.438896636353</c:v>
                </c:pt>
                <c:pt idx="54">
                  <c:v>2423.309835615375</c:v>
                </c:pt>
                <c:pt idx="55">
                  <c:v>2457.180774594398</c:v>
                </c:pt>
                <c:pt idx="56">
                  <c:v>2491.05171357342</c:v>
                </c:pt>
                <c:pt idx="57">
                  <c:v>2524.922652552443</c:v>
                </c:pt>
                <c:pt idx="58">
                  <c:v>2558.793591531466</c:v>
                </c:pt>
                <c:pt idx="59">
                  <c:v>2592.66453051049</c:v>
                </c:pt>
                <c:pt idx="60">
                  <c:v>2548.911627906978</c:v>
                </c:pt>
                <c:pt idx="61">
                  <c:v>2427.534883720931</c:v>
                </c:pt>
                <c:pt idx="62">
                  <c:v>2306.158139534884</c:v>
                </c:pt>
                <c:pt idx="63">
                  <c:v>2184.781395348838</c:v>
                </c:pt>
                <c:pt idx="64">
                  <c:v>2063.404651162791</c:v>
                </c:pt>
                <c:pt idx="65">
                  <c:v>1942.027906976745</c:v>
                </c:pt>
                <c:pt idx="66">
                  <c:v>1820.651162790698</c:v>
                </c:pt>
                <c:pt idx="67">
                  <c:v>1699.274418604652</c:v>
                </c:pt>
                <c:pt idx="68">
                  <c:v>1577.897674418605</c:v>
                </c:pt>
                <c:pt idx="69">
                  <c:v>1456.520930232559</c:v>
                </c:pt>
                <c:pt idx="70">
                  <c:v>1335.144186046512</c:v>
                </c:pt>
                <c:pt idx="71">
                  <c:v>1213.767441860465</c:v>
                </c:pt>
                <c:pt idx="72">
                  <c:v>1092.39069767442</c:v>
                </c:pt>
                <c:pt idx="73">
                  <c:v>971.0139534883724</c:v>
                </c:pt>
                <c:pt idx="74">
                  <c:v>849.6372093023258</c:v>
                </c:pt>
                <c:pt idx="75">
                  <c:v>728.2604651162792</c:v>
                </c:pt>
                <c:pt idx="76">
                  <c:v>606.8837209302328</c:v>
                </c:pt>
                <c:pt idx="77">
                  <c:v>485.506976744186</c:v>
                </c:pt>
                <c:pt idx="78">
                  <c:v>364.1302325581396</c:v>
                </c:pt>
                <c:pt idx="79">
                  <c:v>242.7534883720932</c:v>
                </c:pt>
                <c:pt idx="80">
                  <c:v>121.3767441860464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8019.21546961326</c:v>
                </c:pt>
                <c:pt idx="1">
                  <c:v>8019.21546961326</c:v>
                </c:pt>
                <c:pt idx="2">
                  <c:v>8019.21546961326</c:v>
                </c:pt>
                <c:pt idx="3">
                  <c:v>8019.21546961326</c:v>
                </c:pt>
                <c:pt idx="4">
                  <c:v>8019.21546961326</c:v>
                </c:pt>
                <c:pt idx="5">
                  <c:v>8019.21546961326</c:v>
                </c:pt>
                <c:pt idx="6">
                  <c:v>8019.21546961326</c:v>
                </c:pt>
                <c:pt idx="7">
                  <c:v>8019.21546961326</c:v>
                </c:pt>
                <c:pt idx="8">
                  <c:v>8019.21546961326</c:v>
                </c:pt>
                <c:pt idx="9">
                  <c:v>8019.21546961326</c:v>
                </c:pt>
                <c:pt idx="10">
                  <c:v>8019.21546961326</c:v>
                </c:pt>
                <c:pt idx="11">
                  <c:v>8019.21546961326</c:v>
                </c:pt>
                <c:pt idx="12">
                  <c:v>8019.21546961326</c:v>
                </c:pt>
                <c:pt idx="13">
                  <c:v>8019.21546961326</c:v>
                </c:pt>
                <c:pt idx="14">
                  <c:v>8019.21546961326</c:v>
                </c:pt>
                <c:pt idx="15">
                  <c:v>8019.21546961326</c:v>
                </c:pt>
                <c:pt idx="16">
                  <c:v>8019.21546961326</c:v>
                </c:pt>
                <c:pt idx="17">
                  <c:v>8019.21546961326</c:v>
                </c:pt>
                <c:pt idx="18">
                  <c:v>8019.21546961326</c:v>
                </c:pt>
                <c:pt idx="19">
                  <c:v>8019.21546961326</c:v>
                </c:pt>
                <c:pt idx="20">
                  <c:v>8019.21546961326</c:v>
                </c:pt>
                <c:pt idx="21">
                  <c:v>8019.21546961326</c:v>
                </c:pt>
                <c:pt idx="22">
                  <c:v>8019.21546961326</c:v>
                </c:pt>
                <c:pt idx="23">
                  <c:v>8019.21546961326</c:v>
                </c:pt>
                <c:pt idx="24">
                  <c:v>8135.360681399632</c:v>
                </c:pt>
                <c:pt idx="25">
                  <c:v>8367.651104972376</c:v>
                </c:pt>
                <c:pt idx="26">
                  <c:v>8599.94152854512</c:v>
                </c:pt>
                <c:pt idx="27">
                  <c:v>8832.231952117865</c:v>
                </c:pt>
                <c:pt idx="28">
                  <c:v>9064.522375690609</c:v>
                </c:pt>
                <c:pt idx="29">
                  <c:v>9296.812799263353</c:v>
                </c:pt>
                <c:pt idx="30">
                  <c:v>9529.103222836096</c:v>
                </c:pt>
                <c:pt idx="31">
                  <c:v>9761.39364640884</c:v>
                </c:pt>
                <c:pt idx="32">
                  <c:v>9993.684069981585</c:v>
                </c:pt>
                <c:pt idx="33">
                  <c:v>10225.97449355433</c:v>
                </c:pt>
                <c:pt idx="34">
                  <c:v>10458.26491712707</c:v>
                </c:pt>
                <c:pt idx="35">
                  <c:v>10690.55534069982</c:v>
                </c:pt>
                <c:pt idx="36">
                  <c:v>10922.84576427256</c:v>
                </c:pt>
                <c:pt idx="37">
                  <c:v>11155.13618784531</c:v>
                </c:pt>
                <c:pt idx="38">
                  <c:v>11387.42661141805</c:v>
                </c:pt>
                <c:pt idx="39">
                  <c:v>11619.71703499079</c:v>
                </c:pt>
                <c:pt idx="40">
                  <c:v>11852.00745856354</c:v>
                </c:pt>
                <c:pt idx="41">
                  <c:v>12084.29788213628</c:v>
                </c:pt>
                <c:pt idx="42">
                  <c:v>12316.58830570903</c:v>
                </c:pt>
                <c:pt idx="43">
                  <c:v>12548.87872928177</c:v>
                </c:pt>
                <c:pt idx="44">
                  <c:v>12781.16915285451</c:v>
                </c:pt>
                <c:pt idx="45">
                  <c:v>13013.45957642726</c:v>
                </c:pt>
                <c:pt idx="46">
                  <c:v>13245.75</c:v>
                </c:pt>
                <c:pt idx="47">
                  <c:v>13478.04042357275</c:v>
                </c:pt>
                <c:pt idx="48">
                  <c:v>13710.3308471455</c:v>
                </c:pt>
                <c:pt idx="49">
                  <c:v>13942.62127071823</c:v>
                </c:pt>
                <c:pt idx="50">
                  <c:v>14174.91169429098</c:v>
                </c:pt>
                <c:pt idx="51">
                  <c:v>14407.20211786372</c:v>
                </c:pt>
                <c:pt idx="52">
                  <c:v>14639.49254143647</c:v>
                </c:pt>
                <c:pt idx="53">
                  <c:v>14871.78296500921</c:v>
                </c:pt>
                <c:pt idx="54">
                  <c:v>15104.07338858195</c:v>
                </c:pt>
                <c:pt idx="55">
                  <c:v>15336.3638121547</c:v>
                </c:pt>
                <c:pt idx="56">
                  <c:v>15568.65423572744</c:v>
                </c:pt>
                <c:pt idx="57">
                  <c:v>15800.94465930019</c:v>
                </c:pt>
                <c:pt idx="58">
                  <c:v>16033.23508287293</c:v>
                </c:pt>
                <c:pt idx="59">
                  <c:v>16265.52550644568</c:v>
                </c:pt>
                <c:pt idx="60">
                  <c:v>16021.59640241553</c:v>
                </c:pt>
                <c:pt idx="61">
                  <c:v>15301.44777078248</c:v>
                </c:pt>
                <c:pt idx="62">
                  <c:v>14581.29913914943</c:v>
                </c:pt>
                <c:pt idx="63">
                  <c:v>13861.15050751638</c:v>
                </c:pt>
                <c:pt idx="64">
                  <c:v>13141.00187588334</c:v>
                </c:pt>
                <c:pt idx="65">
                  <c:v>12420.85324425029</c:v>
                </c:pt>
                <c:pt idx="66">
                  <c:v>11700.70461261725</c:v>
                </c:pt>
                <c:pt idx="67">
                  <c:v>10980.5559809842</c:v>
                </c:pt>
                <c:pt idx="68">
                  <c:v>10260.40734935115</c:v>
                </c:pt>
                <c:pt idx="69">
                  <c:v>9540.258717718104</c:v>
                </c:pt>
                <c:pt idx="70">
                  <c:v>8820.11008608506</c:v>
                </c:pt>
                <c:pt idx="71">
                  <c:v>8099.961454452013</c:v>
                </c:pt>
                <c:pt idx="72">
                  <c:v>7379.812822818965</c:v>
                </c:pt>
                <c:pt idx="73">
                  <c:v>6659.66419118592</c:v>
                </c:pt>
                <c:pt idx="74">
                  <c:v>5939.515559552872</c:v>
                </c:pt>
                <c:pt idx="75">
                  <c:v>5219.366927919827</c:v>
                </c:pt>
                <c:pt idx="76">
                  <c:v>4499.21829628678</c:v>
                </c:pt>
                <c:pt idx="77">
                  <c:v>3779.069664653734</c:v>
                </c:pt>
                <c:pt idx="78">
                  <c:v>3058.921033020686</c:v>
                </c:pt>
                <c:pt idx="79">
                  <c:v>2338.772401387641</c:v>
                </c:pt>
                <c:pt idx="80">
                  <c:v>1618.623769754593</c:v>
                </c:pt>
                <c:pt idx="81">
                  <c:v>898.4751381215483</c:v>
                </c:pt>
                <c:pt idx="82">
                  <c:v>834.2983425414365</c:v>
                </c:pt>
                <c:pt idx="83">
                  <c:v>770.121546961326</c:v>
                </c:pt>
                <c:pt idx="84">
                  <c:v>705.9447513812155</c:v>
                </c:pt>
                <c:pt idx="85">
                  <c:v>641.767955801105</c:v>
                </c:pt>
                <c:pt idx="86">
                  <c:v>577.5911602209945</c:v>
                </c:pt>
                <c:pt idx="87">
                  <c:v>513.414364640884</c:v>
                </c:pt>
                <c:pt idx="88">
                  <c:v>449.2375690607735</c:v>
                </c:pt>
                <c:pt idx="89">
                  <c:v>385.060773480663</c:v>
                </c:pt>
                <c:pt idx="90">
                  <c:v>320.8839779005525</c:v>
                </c:pt>
                <c:pt idx="91">
                  <c:v>256.707182320442</c:v>
                </c:pt>
                <c:pt idx="92">
                  <c:v>192.5303867403314</c:v>
                </c:pt>
                <c:pt idx="93">
                  <c:v>128.353591160221</c:v>
                </c:pt>
                <c:pt idx="94">
                  <c:v>64.17679558011048</c:v>
                </c:pt>
                <c:pt idx="95">
                  <c:v>-1.13686837721616E-13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233.3333333333333</c:v>
                </c:pt>
                <c:pt idx="25">
                  <c:v>700.0</c:v>
                </c:pt>
                <c:pt idx="26">
                  <c:v>1166.666666666667</c:v>
                </c:pt>
                <c:pt idx="27">
                  <c:v>1633.333333333333</c:v>
                </c:pt>
                <c:pt idx="28">
                  <c:v>2100.0</c:v>
                </c:pt>
                <c:pt idx="29">
                  <c:v>2566.666666666667</c:v>
                </c:pt>
                <c:pt idx="30">
                  <c:v>3033.333333333333</c:v>
                </c:pt>
                <c:pt idx="31">
                  <c:v>3500.0</c:v>
                </c:pt>
                <c:pt idx="32">
                  <c:v>3966.666666666667</c:v>
                </c:pt>
                <c:pt idx="33">
                  <c:v>4433.333333333334</c:v>
                </c:pt>
                <c:pt idx="34">
                  <c:v>4900.0</c:v>
                </c:pt>
                <c:pt idx="35">
                  <c:v>5366.666666666666</c:v>
                </c:pt>
                <c:pt idx="36">
                  <c:v>5833.333333333334</c:v>
                </c:pt>
                <c:pt idx="37">
                  <c:v>6300.0</c:v>
                </c:pt>
                <c:pt idx="38">
                  <c:v>6766.666666666666</c:v>
                </c:pt>
                <c:pt idx="39">
                  <c:v>7233.333333333334</c:v>
                </c:pt>
                <c:pt idx="40">
                  <c:v>7700.0</c:v>
                </c:pt>
                <c:pt idx="41">
                  <c:v>8166.666666666666</c:v>
                </c:pt>
                <c:pt idx="42">
                  <c:v>8633.333333333334</c:v>
                </c:pt>
                <c:pt idx="43">
                  <c:v>9100.0</c:v>
                </c:pt>
                <c:pt idx="44">
                  <c:v>9566.666666666668</c:v>
                </c:pt>
                <c:pt idx="45">
                  <c:v>10033.33333333333</c:v>
                </c:pt>
                <c:pt idx="46">
                  <c:v>10500.0</c:v>
                </c:pt>
                <c:pt idx="47">
                  <c:v>10966.66666666667</c:v>
                </c:pt>
                <c:pt idx="48">
                  <c:v>11433.33333333333</c:v>
                </c:pt>
                <c:pt idx="49">
                  <c:v>11900.0</c:v>
                </c:pt>
                <c:pt idx="50">
                  <c:v>12366.66666666667</c:v>
                </c:pt>
                <c:pt idx="51">
                  <c:v>12833.33333333333</c:v>
                </c:pt>
                <c:pt idx="52">
                  <c:v>13300.0</c:v>
                </c:pt>
                <c:pt idx="53">
                  <c:v>13766.66666666667</c:v>
                </c:pt>
                <c:pt idx="54">
                  <c:v>14233.33333333333</c:v>
                </c:pt>
                <c:pt idx="55">
                  <c:v>14700.0</c:v>
                </c:pt>
                <c:pt idx="56">
                  <c:v>15166.66666666667</c:v>
                </c:pt>
                <c:pt idx="57">
                  <c:v>15633.33333333333</c:v>
                </c:pt>
                <c:pt idx="58">
                  <c:v>16100.0</c:v>
                </c:pt>
                <c:pt idx="59">
                  <c:v>16566.66666666667</c:v>
                </c:pt>
                <c:pt idx="60">
                  <c:v>18128.37209302325</c:v>
                </c:pt>
                <c:pt idx="61">
                  <c:v>20785.11627906977</c:v>
                </c:pt>
                <c:pt idx="62">
                  <c:v>23441.86046511628</c:v>
                </c:pt>
                <c:pt idx="63">
                  <c:v>26098.6046511628</c:v>
                </c:pt>
                <c:pt idx="64">
                  <c:v>28755.3488372093</c:v>
                </c:pt>
                <c:pt idx="65">
                  <c:v>31412.09302325581</c:v>
                </c:pt>
                <c:pt idx="66">
                  <c:v>34068.83720930232</c:v>
                </c:pt>
                <c:pt idx="67">
                  <c:v>36725.58139534883</c:v>
                </c:pt>
                <c:pt idx="68">
                  <c:v>39382.32558139534</c:v>
                </c:pt>
                <c:pt idx="69">
                  <c:v>42039.06976744186</c:v>
                </c:pt>
                <c:pt idx="70">
                  <c:v>44695.81395348836</c:v>
                </c:pt>
                <c:pt idx="71">
                  <c:v>47352.55813953488</c:v>
                </c:pt>
                <c:pt idx="72">
                  <c:v>50009.30232558139</c:v>
                </c:pt>
                <c:pt idx="73">
                  <c:v>52666.0465116279</c:v>
                </c:pt>
                <c:pt idx="74">
                  <c:v>55322.79069767441</c:v>
                </c:pt>
                <c:pt idx="75">
                  <c:v>57979.53488372093</c:v>
                </c:pt>
                <c:pt idx="76">
                  <c:v>60636.27906976744</c:v>
                </c:pt>
                <c:pt idx="77">
                  <c:v>63293.02325581395</c:v>
                </c:pt>
                <c:pt idx="78">
                  <c:v>65949.76744186046</c:v>
                </c:pt>
                <c:pt idx="79">
                  <c:v>68606.51162790697</c:v>
                </c:pt>
                <c:pt idx="80">
                  <c:v>71263.25581395348</c:v>
                </c:pt>
                <c:pt idx="81">
                  <c:v>73920.0</c:v>
                </c:pt>
                <c:pt idx="82">
                  <c:v>82080.0</c:v>
                </c:pt>
                <c:pt idx="83">
                  <c:v>90240.0</c:v>
                </c:pt>
                <c:pt idx="84">
                  <c:v>98400.0</c:v>
                </c:pt>
                <c:pt idx="85">
                  <c:v>106560.0</c:v>
                </c:pt>
                <c:pt idx="86">
                  <c:v>114720.0</c:v>
                </c:pt>
                <c:pt idx="87">
                  <c:v>122880.0</c:v>
                </c:pt>
                <c:pt idx="88">
                  <c:v>131040.0</c:v>
                </c:pt>
                <c:pt idx="89">
                  <c:v>139200.0</c:v>
                </c:pt>
                <c:pt idx="90">
                  <c:v>147360.0</c:v>
                </c:pt>
                <c:pt idx="91">
                  <c:v>155520.0</c:v>
                </c:pt>
                <c:pt idx="92">
                  <c:v>163680.0</c:v>
                </c:pt>
                <c:pt idx="93">
                  <c:v>171840.0</c:v>
                </c:pt>
                <c:pt idx="94">
                  <c:v>180000.0</c:v>
                </c:pt>
                <c:pt idx="95">
                  <c:v>188160.0</c:v>
                </c:pt>
                <c:pt idx="96">
                  <c:v>190831.7</c:v>
                </c:pt>
                <c:pt idx="97">
                  <c:v>193503.4</c:v>
                </c:pt>
                <c:pt idx="98">
                  <c:v>196175.1</c:v>
                </c:pt>
                <c:pt idx="99">
                  <c:v>198846.8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5145.000000000001</c:v>
                </c:pt>
                <c:pt idx="1">
                  <c:v>5145.000000000001</c:v>
                </c:pt>
                <c:pt idx="2">
                  <c:v>5145.000000000001</c:v>
                </c:pt>
                <c:pt idx="3">
                  <c:v>5145.000000000001</c:v>
                </c:pt>
                <c:pt idx="4">
                  <c:v>5145.000000000001</c:v>
                </c:pt>
                <c:pt idx="5">
                  <c:v>5145.000000000001</c:v>
                </c:pt>
                <c:pt idx="6">
                  <c:v>5145.000000000001</c:v>
                </c:pt>
                <c:pt idx="7">
                  <c:v>5145.000000000001</c:v>
                </c:pt>
                <c:pt idx="8">
                  <c:v>5145.000000000001</c:v>
                </c:pt>
                <c:pt idx="9">
                  <c:v>5145.000000000001</c:v>
                </c:pt>
                <c:pt idx="10">
                  <c:v>5145.000000000001</c:v>
                </c:pt>
                <c:pt idx="11">
                  <c:v>5145.000000000001</c:v>
                </c:pt>
                <c:pt idx="12">
                  <c:v>5145.000000000001</c:v>
                </c:pt>
                <c:pt idx="13">
                  <c:v>5145.000000000001</c:v>
                </c:pt>
                <c:pt idx="14">
                  <c:v>5145.000000000001</c:v>
                </c:pt>
                <c:pt idx="15">
                  <c:v>5145.000000000001</c:v>
                </c:pt>
                <c:pt idx="16">
                  <c:v>5145.000000000001</c:v>
                </c:pt>
                <c:pt idx="17">
                  <c:v>5145.000000000001</c:v>
                </c:pt>
                <c:pt idx="18">
                  <c:v>5145.000000000001</c:v>
                </c:pt>
                <c:pt idx="19">
                  <c:v>5145.000000000001</c:v>
                </c:pt>
                <c:pt idx="20">
                  <c:v>5145.000000000001</c:v>
                </c:pt>
                <c:pt idx="21">
                  <c:v>5145.000000000001</c:v>
                </c:pt>
                <c:pt idx="22">
                  <c:v>5145.000000000001</c:v>
                </c:pt>
                <c:pt idx="23">
                  <c:v>5145.000000000001</c:v>
                </c:pt>
                <c:pt idx="24">
                  <c:v>5173.408333333335</c:v>
                </c:pt>
                <c:pt idx="25">
                  <c:v>5230.225000000001</c:v>
                </c:pt>
                <c:pt idx="26">
                  <c:v>5287.041666666667</c:v>
                </c:pt>
                <c:pt idx="27">
                  <c:v>5343.858333333334</c:v>
                </c:pt>
                <c:pt idx="28">
                  <c:v>5400.675000000001</c:v>
                </c:pt>
                <c:pt idx="29">
                  <c:v>5457.491666666667</c:v>
                </c:pt>
                <c:pt idx="30">
                  <c:v>5514.308333333334</c:v>
                </c:pt>
                <c:pt idx="31">
                  <c:v>5571.125</c:v>
                </c:pt>
                <c:pt idx="32">
                  <c:v>5627.941666666667</c:v>
                </c:pt>
                <c:pt idx="33">
                  <c:v>5684.758333333334</c:v>
                </c:pt>
                <c:pt idx="34">
                  <c:v>5741.575000000001</c:v>
                </c:pt>
                <c:pt idx="35">
                  <c:v>5798.391666666668</c:v>
                </c:pt>
                <c:pt idx="36">
                  <c:v>5855.208333333335</c:v>
                </c:pt>
                <c:pt idx="37">
                  <c:v>5912.025000000001</c:v>
                </c:pt>
                <c:pt idx="38">
                  <c:v>5968.841666666668</c:v>
                </c:pt>
                <c:pt idx="39">
                  <c:v>6025.658333333335</c:v>
                </c:pt>
                <c:pt idx="40">
                  <c:v>6082.475000000001</c:v>
                </c:pt>
                <c:pt idx="41">
                  <c:v>6139.291666666667</c:v>
                </c:pt>
                <c:pt idx="42">
                  <c:v>6196.108333333334</c:v>
                </c:pt>
                <c:pt idx="43">
                  <c:v>6252.925000000001</c:v>
                </c:pt>
                <c:pt idx="44">
                  <c:v>6309.741666666667</c:v>
                </c:pt>
                <c:pt idx="45">
                  <c:v>6366.558333333334</c:v>
                </c:pt>
                <c:pt idx="46">
                  <c:v>6423.375000000002</c:v>
                </c:pt>
                <c:pt idx="47">
                  <c:v>6480.191666666667</c:v>
                </c:pt>
                <c:pt idx="48">
                  <c:v>6537.008333333335</c:v>
                </c:pt>
                <c:pt idx="49">
                  <c:v>6593.825000000001</c:v>
                </c:pt>
                <c:pt idx="50">
                  <c:v>6650.641666666668</c:v>
                </c:pt>
                <c:pt idx="51">
                  <c:v>6707.458333333335</c:v>
                </c:pt>
                <c:pt idx="52">
                  <c:v>6764.275000000001</c:v>
                </c:pt>
                <c:pt idx="53">
                  <c:v>6821.091666666668</c:v>
                </c:pt>
                <c:pt idx="54">
                  <c:v>6877.908333333335</c:v>
                </c:pt>
                <c:pt idx="55">
                  <c:v>6934.725000000001</c:v>
                </c:pt>
                <c:pt idx="56">
                  <c:v>6991.541666666667</c:v>
                </c:pt>
                <c:pt idx="57">
                  <c:v>7048.358333333335</c:v>
                </c:pt>
                <c:pt idx="58">
                  <c:v>7105.175000000001</c:v>
                </c:pt>
                <c:pt idx="59">
                  <c:v>7161.991666666668</c:v>
                </c:pt>
                <c:pt idx="60">
                  <c:v>7201.339534883722</c:v>
                </c:pt>
                <c:pt idx="61">
                  <c:v>7223.218604651164</c:v>
                </c:pt>
                <c:pt idx="62">
                  <c:v>7245.097674418606</c:v>
                </c:pt>
                <c:pt idx="63">
                  <c:v>7266.976744186048</c:v>
                </c:pt>
                <c:pt idx="64">
                  <c:v>7288.85581395349</c:v>
                </c:pt>
                <c:pt idx="65">
                  <c:v>7310.734883720932</c:v>
                </c:pt>
                <c:pt idx="66">
                  <c:v>7332.613953488373</c:v>
                </c:pt>
                <c:pt idx="67">
                  <c:v>7354.493023255815</c:v>
                </c:pt>
                <c:pt idx="68">
                  <c:v>7376.372093023257</c:v>
                </c:pt>
                <c:pt idx="69">
                  <c:v>7398.251162790698</c:v>
                </c:pt>
                <c:pt idx="70">
                  <c:v>7420.13023255814</c:v>
                </c:pt>
                <c:pt idx="71">
                  <c:v>7442.009302325583</c:v>
                </c:pt>
                <c:pt idx="72">
                  <c:v>7463.888372093024</c:v>
                </c:pt>
                <c:pt idx="73">
                  <c:v>7485.767441860466</c:v>
                </c:pt>
                <c:pt idx="74">
                  <c:v>7507.646511627907</c:v>
                </c:pt>
                <c:pt idx="75">
                  <c:v>7529.52558139535</c:v>
                </c:pt>
                <c:pt idx="76">
                  <c:v>7551.404651162792</c:v>
                </c:pt>
                <c:pt idx="77">
                  <c:v>7573.283720930233</c:v>
                </c:pt>
                <c:pt idx="78">
                  <c:v>7595.162790697675</c:v>
                </c:pt>
                <c:pt idx="79">
                  <c:v>7617.041860465117</c:v>
                </c:pt>
                <c:pt idx="80">
                  <c:v>7638.920930232559</c:v>
                </c:pt>
                <c:pt idx="81">
                  <c:v>7660.800000000001</c:v>
                </c:pt>
                <c:pt idx="82">
                  <c:v>7113.600000000001</c:v>
                </c:pt>
                <c:pt idx="83">
                  <c:v>6566.400000000001</c:v>
                </c:pt>
                <c:pt idx="84">
                  <c:v>6019.200000000001</c:v>
                </c:pt>
                <c:pt idx="85">
                  <c:v>5472.000000000001</c:v>
                </c:pt>
                <c:pt idx="86">
                  <c:v>4924.800000000001</c:v>
                </c:pt>
                <c:pt idx="87">
                  <c:v>4377.6</c:v>
                </c:pt>
                <c:pt idx="88">
                  <c:v>3830.400000000001</c:v>
                </c:pt>
                <c:pt idx="89">
                  <c:v>3283.200000000001</c:v>
                </c:pt>
                <c:pt idx="90">
                  <c:v>2736.000000000001</c:v>
                </c:pt>
                <c:pt idx="91">
                  <c:v>2188.800000000001</c:v>
                </c:pt>
                <c:pt idx="92">
                  <c:v>1641.6</c:v>
                </c:pt>
                <c:pt idx="93">
                  <c:v>1094.400000000001</c:v>
                </c:pt>
                <c:pt idx="94">
                  <c:v>547.2000000000007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14.93333333333334</c:v>
                </c:pt>
                <c:pt idx="25">
                  <c:v>44.80000000000001</c:v>
                </c:pt>
                <c:pt idx="26">
                  <c:v>74.66666666666668</c:v>
                </c:pt>
                <c:pt idx="27">
                  <c:v>104.5333333333334</c:v>
                </c:pt>
                <c:pt idx="28">
                  <c:v>134.4</c:v>
                </c:pt>
                <c:pt idx="29">
                  <c:v>164.2666666666667</c:v>
                </c:pt>
                <c:pt idx="30">
                  <c:v>194.1333333333334</c:v>
                </c:pt>
                <c:pt idx="31">
                  <c:v>224.0000000000001</c:v>
                </c:pt>
                <c:pt idx="32">
                  <c:v>253.8666666666667</c:v>
                </c:pt>
                <c:pt idx="33">
                  <c:v>283.7333333333334</c:v>
                </c:pt>
                <c:pt idx="34">
                  <c:v>313.6000000000001</c:v>
                </c:pt>
                <c:pt idx="35">
                  <c:v>343.4666666666668</c:v>
                </c:pt>
                <c:pt idx="36">
                  <c:v>373.3333333333334</c:v>
                </c:pt>
                <c:pt idx="37">
                  <c:v>403.2000000000001</c:v>
                </c:pt>
                <c:pt idx="38">
                  <c:v>433.0666666666668</c:v>
                </c:pt>
                <c:pt idx="39">
                  <c:v>462.9333333333335</c:v>
                </c:pt>
                <c:pt idx="40">
                  <c:v>492.8000000000001</c:v>
                </c:pt>
                <c:pt idx="41">
                  <c:v>522.6666666666667</c:v>
                </c:pt>
                <c:pt idx="42">
                  <c:v>552.5333333333335</c:v>
                </c:pt>
                <c:pt idx="43">
                  <c:v>582.4000000000001</c:v>
                </c:pt>
                <c:pt idx="44">
                  <c:v>612.2666666666668</c:v>
                </c:pt>
                <c:pt idx="45">
                  <c:v>642.1333333333334</c:v>
                </c:pt>
                <c:pt idx="46">
                  <c:v>672.0000000000002</c:v>
                </c:pt>
                <c:pt idx="47">
                  <c:v>701.8666666666668</c:v>
                </c:pt>
                <c:pt idx="48">
                  <c:v>731.7333333333335</c:v>
                </c:pt>
                <c:pt idx="49">
                  <c:v>761.6000000000001</c:v>
                </c:pt>
                <c:pt idx="50">
                  <c:v>791.466666666667</c:v>
                </c:pt>
                <c:pt idx="51">
                  <c:v>821.3333333333334</c:v>
                </c:pt>
                <c:pt idx="52">
                  <c:v>851.2000000000002</c:v>
                </c:pt>
                <c:pt idx="53">
                  <c:v>881.0666666666668</c:v>
                </c:pt>
                <c:pt idx="54">
                  <c:v>910.9333333333336</c:v>
                </c:pt>
                <c:pt idx="55">
                  <c:v>940.8000000000002</c:v>
                </c:pt>
                <c:pt idx="56">
                  <c:v>970.666666666667</c:v>
                </c:pt>
                <c:pt idx="57">
                  <c:v>1000.533333333334</c:v>
                </c:pt>
                <c:pt idx="58">
                  <c:v>1030.4</c:v>
                </c:pt>
                <c:pt idx="59">
                  <c:v>1060.266666666667</c:v>
                </c:pt>
                <c:pt idx="60">
                  <c:v>1050.19534883721</c:v>
                </c:pt>
                <c:pt idx="61">
                  <c:v>1000.186046511628</c:v>
                </c:pt>
                <c:pt idx="62">
                  <c:v>950.1767441860467</c:v>
                </c:pt>
                <c:pt idx="63">
                  <c:v>900.1674418604654</c:v>
                </c:pt>
                <c:pt idx="64">
                  <c:v>850.158139534884</c:v>
                </c:pt>
                <c:pt idx="65">
                  <c:v>800.1488372093025</c:v>
                </c:pt>
                <c:pt idx="66">
                  <c:v>750.1395348837211</c:v>
                </c:pt>
                <c:pt idx="67">
                  <c:v>700.1302325581397</c:v>
                </c:pt>
                <c:pt idx="68">
                  <c:v>650.1209302325582</c:v>
                </c:pt>
                <c:pt idx="69">
                  <c:v>600.1116279069769</c:v>
                </c:pt>
                <c:pt idx="70">
                  <c:v>550.1023255813954</c:v>
                </c:pt>
                <c:pt idx="71">
                  <c:v>500.093023255814</c:v>
                </c:pt>
                <c:pt idx="72">
                  <c:v>450.0837209302326</c:v>
                </c:pt>
                <c:pt idx="73">
                  <c:v>400.0744186046512</c:v>
                </c:pt>
                <c:pt idx="74">
                  <c:v>350.0651162790698</c:v>
                </c:pt>
                <c:pt idx="75">
                  <c:v>300.0558139534884</c:v>
                </c:pt>
                <c:pt idx="76">
                  <c:v>250.0465116279071</c:v>
                </c:pt>
                <c:pt idx="77">
                  <c:v>200.0372093023257</c:v>
                </c:pt>
                <c:pt idx="78">
                  <c:v>150.0279069767442</c:v>
                </c:pt>
                <c:pt idx="79">
                  <c:v>100.0186046511628</c:v>
                </c:pt>
                <c:pt idx="80">
                  <c:v>50.0093023255813</c:v>
                </c:pt>
                <c:pt idx="81">
                  <c:v>0.0</c:v>
                </c:pt>
                <c:pt idx="82">
                  <c:v>13440.0</c:v>
                </c:pt>
                <c:pt idx="83">
                  <c:v>26880.0</c:v>
                </c:pt>
                <c:pt idx="84">
                  <c:v>40320.0</c:v>
                </c:pt>
                <c:pt idx="85">
                  <c:v>53760.0</c:v>
                </c:pt>
                <c:pt idx="86">
                  <c:v>67200.0</c:v>
                </c:pt>
                <c:pt idx="87">
                  <c:v>80640.0</c:v>
                </c:pt>
                <c:pt idx="88">
                  <c:v>94080.0</c:v>
                </c:pt>
                <c:pt idx="89">
                  <c:v>107520.0</c:v>
                </c:pt>
                <c:pt idx="90">
                  <c:v>120960.0</c:v>
                </c:pt>
                <c:pt idx="91">
                  <c:v>134400.0</c:v>
                </c:pt>
                <c:pt idx="92">
                  <c:v>147840.0</c:v>
                </c:pt>
                <c:pt idx="93">
                  <c:v>161280.0</c:v>
                </c:pt>
                <c:pt idx="94">
                  <c:v>174720.0</c:v>
                </c:pt>
                <c:pt idx="95">
                  <c:v>188160.0</c:v>
                </c:pt>
                <c:pt idx="96">
                  <c:v>194363.5</c:v>
                </c:pt>
                <c:pt idx="97">
                  <c:v>200567.0</c:v>
                </c:pt>
                <c:pt idx="98">
                  <c:v>206770.5</c:v>
                </c:pt>
                <c:pt idx="99">
                  <c:v>212974.0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85.76353591160221</c:v>
                </c:pt>
                <c:pt idx="1">
                  <c:v>85.76353591160221</c:v>
                </c:pt>
                <c:pt idx="2">
                  <c:v>85.76353591160221</c:v>
                </c:pt>
                <c:pt idx="3">
                  <c:v>85.76353591160221</c:v>
                </c:pt>
                <c:pt idx="4">
                  <c:v>85.76353591160221</c:v>
                </c:pt>
                <c:pt idx="5">
                  <c:v>85.76353591160221</c:v>
                </c:pt>
                <c:pt idx="6">
                  <c:v>85.76353591160221</c:v>
                </c:pt>
                <c:pt idx="7">
                  <c:v>85.76353591160221</c:v>
                </c:pt>
                <c:pt idx="8">
                  <c:v>85.76353591160221</c:v>
                </c:pt>
                <c:pt idx="9">
                  <c:v>85.76353591160221</c:v>
                </c:pt>
                <c:pt idx="10">
                  <c:v>85.76353591160221</c:v>
                </c:pt>
                <c:pt idx="11">
                  <c:v>85.76353591160221</c:v>
                </c:pt>
                <c:pt idx="12">
                  <c:v>85.76353591160221</c:v>
                </c:pt>
                <c:pt idx="13">
                  <c:v>85.76353591160221</c:v>
                </c:pt>
                <c:pt idx="14">
                  <c:v>85.76353591160221</c:v>
                </c:pt>
                <c:pt idx="15">
                  <c:v>85.76353591160221</c:v>
                </c:pt>
                <c:pt idx="16">
                  <c:v>85.76353591160221</c:v>
                </c:pt>
                <c:pt idx="17">
                  <c:v>85.76353591160221</c:v>
                </c:pt>
                <c:pt idx="18">
                  <c:v>85.76353591160221</c:v>
                </c:pt>
                <c:pt idx="19">
                  <c:v>85.76353591160221</c:v>
                </c:pt>
                <c:pt idx="20">
                  <c:v>85.76353591160221</c:v>
                </c:pt>
                <c:pt idx="21">
                  <c:v>85.76353591160221</c:v>
                </c:pt>
                <c:pt idx="22">
                  <c:v>85.76353591160221</c:v>
                </c:pt>
                <c:pt idx="23">
                  <c:v>85.76353591160221</c:v>
                </c:pt>
                <c:pt idx="24">
                  <c:v>92.42149600948964</c:v>
                </c:pt>
                <c:pt idx="25">
                  <c:v>105.7374162052645</c:v>
                </c:pt>
                <c:pt idx="26">
                  <c:v>119.0533364010394</c:v>
                </c:pt>
                <c:pt idx="27">
                  <c:v>132.3692565968142</c:v>
                </c:pt>
                <c:pt idx="28">
                  <c:v>145.6851767925891</c:v>
                </c:pt>
                <c:pt idx="29">
                  <c:v>159.001096988364</c:v>
                </c:pt>
                <c:pt idx="30">
                  <c:v>172.3170171841388</c:v>
                </c:pt>
                <c:pt idx="31">
                  <c:v>185.6329373799136</c:v>
                </c:pt>
                <c:pt idx="32">
                  <c:v>198.9488575756885</c:v>
                </c:pt>
                <c:pt idx="33">
                  <c:v>212.2647777714633</c:v>
                </c:pt>
                <c:pt idx="34">
                  <c:v>225.5806979672382</c:v>
                </c:pt>
                <c:pt idx="35">
                  <c:v>238.896618163013</c:v>
                </c:pt>
                <c:pt idx="36">
                  <c:v>252.2125383587879</c:v>
                </c:pt>
                <c:pt idx="37">
                  <c:v>265.5284585545627</c:v>
                </c:pt>
                <c:pt idx="38">
                  <c:v>278.8443787503376</c:v>
                </c:pt>
                <c:pt idx="39">
                  <c:v>292.1602989461124</c:v>
                </c:pt>
                <c:pt idx="40">
                  <c:v>305.4762191418873</c:v>
                </c:pt>
                <c:pt idx="41">
                  <c:v>318.7921393376621</c:v>
                </c:pt>
                <c:pt idx="42">
                  <c:v>332.108059533437</c:v>
                </c:pt>
                <c:pt idx="43">
                  <c:v>345.4239797292119</c:v>
                </c:pt>
                <c:pt idx="44">
                  <c:v>358.7398999249867</c:v>
                </c:pt>
                <c:pt idx="45">
                  <c:v>372.0558201207615</c:v>
                </c:pt>
                <c:pt idx="46">
                  <c:v>385.3717403165364</c:v>
                </c:pt>
                <c:pt idx="47">
                  <c:v>398.6876605123112</c:v>
                </c:pt>
                <c:pt idx="48">
                  <c:v>412.0035807080861</c:v>
                </c:pt>
                <c:pt idx="49">
                  <c:v>425.319500903861</c:v>
                </c:pt>
                <c:pt idx="50">
                  <c:v>438.6354210996358</c:v>
                </c:pt>
                <c:pt idx="51">
                  <c:v>451.9513412954107</c:v>
                </c:pt>
                <c:pt idx="52">
                  <c:v>465.2672614911855</c:v>
                </c:pt>
                <c:pt idx="53">
                  <c:v>478.5831816869604</c:v>
                </c:pt>
                <c:pt idx="54">
                  <c:v>491.8991018827352</c:v>
                </c:pt>
                <c:pt idx="55">
                  <c:v>505.2150220785101</c:v>
                </c:pt>
                <c:pt idx="56">
                  <c:v>518.530942274285</c:v>
                </c:pt>
                <c:pt idx="57">
                  <c:v>531.8468624700597</c:v>
                </c:pt>
                <c:pt idx="58">
                  <c:v>545.1627826658346</c:v>
                </c:pt>
                <c:pt idx="59">
                  <c:v>558.4787028616094</c:v>
                </c:pt>
                <c:pt idx="60">
                  <c:v>551.9939498674156</c:v>
                </c:pt>
                <c:pt idx="61">
                  <c:v>525.708523683253</c:v>
                </c:pt>
                <c:pt idx="62">
                  <c:v>499.4230974990903</c:v>
                </c:pt>
                <c:pt idx="63">
                  <c:v>473.1376713149276</c:v>
                </c:pt>
                <c:pt idx="64">
                  <c:v>446.852245130765</c:v>
                </c:pt>
                <c:pt idx="65">
                  <c:v>420.5668189466023</c:v>
                </c:pt>
                <c:pt idx="66">
                  <c:v>394.2813927624397</c:v>
                </c:pt>
                <c:pt idx="67">
                  <c:v>367.995966578277</c:v>
                </c:pt>
                <c:pt idx="68">
                  <c:v>341.7105403941144</c:v>
                </c:pt>
                <c:pt idx="69">
                  <c:v>315.4251142099517</c:v>
                </c:pt>
                <c:pt idx="70">
                  <c:v>289.1396880257891</c:v>
                </c:pt>
                <c:pt idx="71">
                  <c:v>262.8542618416264</c:v>
                </c:pt>
                <c:pt idx="72">
                  <c:v>236.5688356574639</c:v>
                </c:pt>
                <c:pt idx="73">
                  <c:v>210.2834094733012</c:v>
                </c:pt>
                <c:pt idx="74">
                  <c:v>183.9979832891386</c:v>
                </c:pt>
                <c:pt idx="75">
                  <c:v>157.7125571049759</c:v>
                </c:pt>
                <c:pt idx="76">
                  <c:v>131.4271309208133</c:v>
                </c:pt>
                <c:pt idx="77">
                  <c:v>105.1417047366506</c:v>
                </c:pt>
                <c:pt idx="78">
                  <c:v>78.85627855248799</c:v>
                </c:pt>
                <c:pt idx="79">
                  <c:v>52.5708523683253</c:v>
                </c:pt>
                <c:pt idx="80">
                  <c:v>26.2854261841627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21051.29090909091</c:v>
                </c:pt>
                <c:pt idx="1">
                  <c:v>21051.29090909091</c:v>
                </c:pt>
                <c:pt idx="2">
                  <c:v>21051.29090909091</c:v>
                </c:pt>
                <c:pt idx="3">
                  <c:v>21051.29090909091</c:v>
                </c:pt>
                <c:pt idx="4">
                  <c:v>21051.29090909091</c:v>
                </c:pt>
                <c:pt idx="5">
                  <c:v>21051.29090909091</c:v>
                </c:pt>
                <c:pt idx="6">
                  <c:v>21051.29090909091</c:v>
                </c:pt>
                <c:pt idx="7">
                  <c:v>21051.29090909091</c:v>
                </c:pt>
                <c:pt idx="8">
                  <c:v>21051.29090909091</c:v>
                </c:pt>
                <c:pt idx="9">
                  <c:v>21051.29090909091</c:v>
                </c:pt>
                <c:pt idx="10">
                  <c:v>21051.29090909091</c:v>
                </c:pt>
                <c:pt idx="11">
                  <c:v>21051.29090909091</c:v>
                </c:pt>
                <c:pt idx="12">
                  <c:v>21051.29090909091</c:v>
                </c:pt>
                <c:pt idx="13">
                  <c:v>21051.29090909091</c:v>
                </c:pt>
                <c:pt idx="14">
                  <c:v>21051.29090909091</c:v>
                </c:pt>
                <c:pt idx="15">
                  <c:v>21051.29090909091</c:v>
                </c:pt>
                <c:pt idx="16">
                  <c:v>21051.29090909091</c:v>
                </c:pt>
                <c:pt idx="17">
                  <c:v>21051.29090909091</c:v>
                </c:pt>
                <c:pt idx="18">
                  <c:v>21051.29090909091</c:v>
                </c:pt>
                <c:pt idx="19">
                  <c:v>21051.29090909091</c:v>
                </c:pt>
                <c:pt idx="20">
                  <c:v>21051.29090909091</c:v>
                </c:pt>
                <c:pt idx="21">
                  <c:v>21051.29090909091</c:v>
                </c:pt>
                <c:pt idx="22">
                  <c:v>21051.29090909091</c:v>
                </c:pt>
                <c:pt idx="23">
                  <c:v>21051.29090909091</c:v>
                </c:pt>
                <c:pt idx="24">
                  <c:v>21069.01893939394</c:v>
                </c:pt>
                <c:pt idx="25">
                  <c:v>21104.475</c:v>
                </c:pt>
                <c:pt idx="26">
                  <c:v>21139.93106060606</c:v>
                </c:pt>
                <c:pt idx="27">
                  <c:v>21175.38712121212</c:v>
                </c:pt>
                <c:pt idx="28">
                  <c:v>21210.84318181819</c:v>
                </c:pt>
                <c:pt idx="29">
                  <c:v>21246.29924242425</c:v>
                </c:pt>
                <c:pt idx="30">
                  <c:v>21281.75530303031</c:v>
                </c:pt>
                <c:pt idx="31">
                  <c:v>21317.21136363637</c:v>
                </c:pt>
                <c:pt idx="32">
                  <c:v>21352.66742424243</c:v>
                </c:pt>
                <c:pt idx="33">
                  <c:v>21388.12348484849</c:v>
                </c:pt>
                <c:pt idx="34">
                  <c:v>21423.57954545455</c:v>
                </c:pt>
                <c:pt idx="35">
                  <c:v>21459.03560606061</c:v>
                </c:pt>
                <c:pt idx="36">
                  <c:v>21494.49166666667</c:v>
                </c:pt>
                <c:pt idx="37">
                  <c:v>21529.94772727273</c:v>
                </c:pt>
                <c:pt idx="38">
                  <c:v>21565.40378787879</c:v>
                </c:pt>
                <c:pt idx="39">
                  <c:v>21600.85984848485</c:v>
                </c:pt>
                <c:pt idx="40">
                  <c:v>21636.31590909091</c:v>
                </c:pt>
                <c:pt idx="41">
                  <c:v>21671.77196969697</c:v>
                </c:pt>
                <c:pt idx="42">
                  <c:v>21707.22803030303</c:v>
                </c:pt>
                <c:pt idx="43">
                  <c:v>21742.6840909091</c:v>
                </c:pt>
                <c:pt idx="44">
                  <c:v>21778.14015151516</c:v>
                </c:pt>
                <c:pt idx="45">
                  <c:v>21813.59621212121</c:v>
                </c:pt>
                <c:pt idx="46">
                  <c:v>21849.05227272728</c:v>
                </c:pt>
                <c:pt idx="47">
                  <c:v>21884.50833333334</c:v>
                </c:pt>
                <c:pt idx="48">
                  <c:v>21919.9643939394</c:v>
                </c:pt>
                <c:pt idx="49">
                  <c:v>21955.42045454546</c:v>
                </c:pt>
                <c:pt idx="50">
                  <c:v>21990.87651515152</c:v>
                </c:pt>
                <c:pt idx="51">
                  <c:v>22026.33257575758</c:v>
                </c:pt>
                <c:pt idx="52">
                  <c:v>22061.78863636364</c:v>
                </c:pt>
                <c:pt idx="53">
                  <c:v>22097.2446969697</c:v>
                </c:pt>
                <c:pt idx="54">
                  <c:v>22132.70075757576</c:v>
                </c:pt>
                <c:pt idx="55">
                  <c:v>22168.15681818182</c:v>
                </c:pt>
                <c:pt idx="56">
                  <c:v>22203.61287878788</c:v>
                </c:pt>
                <c:pt idx="57">
                  <c:v>22239.06893939394</c:v>
                </c:pt>
                <c:pt idx="58">
                  <c:v>22274.52500000001</c:v>
                </c:pt>
                <c:pt idx="59">
                  <c:v>22309.98106060606</c:v>
                </c:pt>
                <c:pt idx="60">
                  <c:v>22014.67737843552</c:v>
                </c:pt>
                <c:pt idx="61">
                  <c:v>21388.61395348838</c:v>
                </c:pt>
                <c:pt idx="62">
                  <c:v>20762.55052854123</c:v>
                </c:pt>
                <c:pt idx="63">
                  <c:v>20136.48710359408</c:v>
                </c:pt>
                <c:pt idx="64">
                  <c:v>19510.42367864694</c:v>
                </c:pt>
                <c:pt idx="65">
                  <c:v>18884.36025369979</c:v>
                </c:pt>
                <c:pt idx="66">
                  <c:v>18258.29682875264</c:v>
                </c:pt>
                <c:pt idx="67">
                  <c:v>17632.2334038055</c:v>
                </c:pt>
                <c:pt idx="68">
                  <c:v>17006.16997885835</c:v>
                </c:pt>
                <c:pt idx="69">
                  <c:v>16380.10655391121</c:v>
                </c:pt>
                <c:pt idx="70">
                  <c:v>15754.04312896406</c:v>
                </c:pt>
                <c:pt idx="71">
                  <c:v>15127.97970401692</c:v>
                </c:pt>
                <c:pt idx="72">
                  <c:v>14501.91627906977</c:v>
                </c:pt>
                <c:pt idx="73">
                  <c:v>13875.85285412263</c:v>
                </c:pt>
                <c:pt idx="74">
                  <c:v>13249.78942917548</c:v>
                </c:pt>
                <c:pt idx="75">
                  <c:v>12623.72600422833</c:v>
                </c:pt>
                <c:pt idx="76">
                  <c:v>11997.66257928119</c:v>
                </c:pt>
                <c:pt idx="77">
                  <c:v>11371.59915433404</c:v>
                </c:pt>
                <c:pt idx="78">
                  <c:v>10745.53572938689</c:v>
                </c:pt>
                <c:pt idx="79">
                  <c:v>10119.47230443975</c:v>
                </c:pt>
                <c:pt idx="80">
                  <c:v>9493.408879492603</c:v>
                </c:pt>
                <c:pt idx="81">
                  <c:v>8867.345454545459</c:v>
                </c:pt>
                <c:pt idx="82">
                  <c:v>8972.909090909094</c:v>
                </c:pt>
                <c:pt idx="83">
                  <c:v>9078.47272727273</c:v>
                </c:pt>
                <c:pt idx="84">
                  <c:v>9184.036363636365</c:v>
                </c:pt>
                <c:pt idx="85">
                  <c:v>9289.600000000002</c:v>
                </c:pt>
                <c:pt idx="86">
                  <c:v>9395.163636363639</c:v>
                </c:pt>
                <c:pt idx="87">
                  <c:v>9500.727272727275</c:v>
                </c:pt>
                <c:pt idx="88">
                  <c:v>9606.290909090912</c:v>
                </c:pt>
                <c:pt idx="89">
                  <c:v>9711.854545454547</c:v>
                </c:pt>
                <c:pt idx="90">
                  <c:v>9817.418181818184</c:v>
                </c:pt>
                <c:pt idx="91">
                  <c:v>9922.98181818182</c:v>
                </c:pt>
                <c:pt idx="92">
                  <c:v>10028.54545454546</c:v>
                </c:pt>
                <c:pt idx="93">
                  <c:v>10134.10909090909</c:v>
                </c:pt>
                <c:pt idx="94">
                  <c:v>10239.67272727273</c:v>
                </c:pt>
                <c:pt idx="95">
                  <c:v>10345.23636363637</c:v>
                </c:pt>
                <c:pt idx="96">
                  <c:v>9217.406363636366</c:v>
                </c:pt>
                <c:pt idx="97">
                  <c:v>8089.576363636366</c:v>
                </c:pt>
                <c:pt idx="98">
                  <c:v>6961.746363636366</c:v>
                </c:pt>
                <c:pt idx="99">
                  <c:v>5833.916363636366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74.66666666666667</c:v>
                </c:pt>
                <c:pt idx="25">
                  <c:v>224.0</c:v>
                </c:pt>
                <c:pt idx="26">
                  <c:v>373.3333333333334</c:v>
                </c:pt>
                <c:pt idx="27">
                  <c:v>522.6666666666667</c:v>
                </c:pt>
                <c:pt idx="28">
                  <c:v>672.0</c:v>
                </c:pt>
                <c:pt idx="29">
                  <c:v>821.3333333333333</c:v>
                </c:pt>
                <c:pt idx="30">
                  <c:v>970.6666666666667</c:v>
                </c:pt>
                <c:pt idx="31">
                  <c:v>1120.0</c:v>
                </c:pt>
                <c:pt idx="32">
                  <c:v>1269.333333333333</c:v>
                </c:pt>
                <c:pt idx="33">
                  <c:v>1418.666666666667</c:v>
                </c:pt>
                <c:pt idx="34">
                  <c:v>1568.0</c:v>
                </c:pt>
                <c:pt idx="35">
                  <c:v>1717.333333333333</c:v>
                </c:pt>
                <c:pt idx="36">
                  <c:v>1866.666666666667</c:v>
                </c:pt>
                <c:pt idx="37">
                  <c:v>2016.0</c:v>
                </c:pt>
                <c:pt idx="38">
                  <c:v>2165.333333333333</c:v>
                </c:pt>
                <c:pt idx="39">
                  <c:v>2314.666666666667</c:v>
                </c:pt>
                <c:pt idx="40">
                  <c:v>2464.0</c:v>
                </c:pt>
                <c:pt idx="41">
                  <c:v>2613.333333333333</c:v>
                </c:pt>
                <c:pt idx="42">
                  <c:v>2762.666666666667</c:v>
                </c:pt>
                <c:pt idx="43">
                  <c:v>2912.0</c:v>
                </c:pt>
                <c:pt idx="44">
                  <c:v>3061.333333333333</c:v>
                </c:pt>
                <c:pt idx="45">
                  <c:v>3210.666666666667</c:v>
                </c:pt>
                <c:pt idx="46">
                  <c:v>3360.0</c:v>
                </c:pt>
                <c:pt idx="47">
                  <c:v>3509.333333333333</c:v>
                </c:pt>
                <c:pt idx="48">
                  <c:v>3658.666666666667</c:v>
                </c:pt>
                <c:pt idx="49">
                  <c:v>3808.0</c:v>
                </c:pt>
                <c:pt idx="50">
                  <c:v>3957.333333333333</c:v>
                </c:pt>
                <c:pt idx="51">
                  <c:v>4106.666666666666</c:v>
                </c:pt>
                <c:pt idx="52">
                  <c:v>4256.0</c:v>
                </c:pt>
                <c:pt idx="53">
                  <c:v>4405.333333333334</c:v>
                </c:pt>
                <c:pt idx="54">
                  <c:v>4554.666666666666</c:v>
                </c:pt>
                <c:pt idx="55">
                  <c:v>4704.0</c:v>
                </c:pt>
                <c:pt idx="56">
                  <c:v>4853.333333333334</c:v>
                </c:pt>
                <c:pt idx="57">
                  <c:v>5002.666666666666</c:v>
                </c:pt>
                <c:pt idx="58">
                  <c:v>5152.0</c:v>
                </c:pt>
                <c:pt idx="59">
                  <c:v>5301.333333333334</c:v>
                </c:pt>
                <c:pt idx="60">
                  <c:v>5282.232558139535</c:v>
                </c:pt>
                <c:pt idx="61">
                  <c:v>5094.697674418604</c:v>
                </c:pt>
                <c:pt idx="62">
                  <c:v>4907.162790697674</c:v>
                </c:pt>
                <c:pt idx="63">
                  <c:v>4719.627906976744</c:v>
                </c:pt>
                <c:pt idx="64">
                  <c:v>4532.093023255813</c:v>
                </c:pt>
                <c:pt idx="65">
                  <c:v>4344.558139534883</c:v>
                </c:pt>
                <c:pt idx="66">
                  <c:v>4157.023255813953</c:v>
                </c:pt>
                <c:pt idx="67">
                  <c:v>3969.488372093023</c:v>
                </c:pt>
                <c:pt idx="68">
                  <c:v>3781.953488372093</c:v>
                </c:pt>
                <c:pt idx="69">
                  <c:v>3594.418604651163</c:v>
                </c:pt>
                <c:pt idx="70">
                  <c:v>3406.883720930233</c:v>
                </c:pt>
                <c:pt idx="71">
                  <c:v>3219.348837209302</c:v>
                </c:pt>
                <c:pt idx="72">
                  <c:v>3031.813953488372</c:v>
                </c:pt>
                <c:pt idx="73">
                  <c:v>2844.279069767442</c:v>
                </c:pt>
                <c:pt idx="74">
                  <c:v>2656.744186046512</c:v>
                </c:pt>
                <c:pt idx="75">
                  <c:v>2469.209302325582</c:v>
                </c:pt>
                <c:pt idx="76">
                  <c:v>2281.674418604651</c:v>
                </c:pt>
                <c:pt idx="77">
                  <c:v>2094.139534883721</c:v>
                </c:pt>
                <c:pt idx="78">
                  <c:v>1906.604651162791</c:v>
                </c:pt>
                <c:pt idx="79">
                  <c:v>1719.069767441861</c:v>
                </c:pt>
                <c:pt idx="80">
                  <c:v>1531.53488372093</c:v>
                </c:pt>
                <c:pt idx="81">
                  <c:v>1344.0</c:v>
                </c:pt>
                <c:pt idx="82">
                  <c:v>2592.0</c:v>
                </c:pt>
                <c:pt idx="83">
                  <c:v>3840.0</c:v>
                </c:pt>
                <c:pt idx="84">
                  <c:v>5088.0</c:v>
                </c:pt>
                <c:pt idx="85">
                  <c:v>6336.0</c:v>
                </c:pt>
                <c:pt idx="86">
                  <c:v>7584.0</c:v>
                </c:pt>
                <c:pt idx="87">
                  <c:v>8832.0</c:v>
                </c:pt>
                <c:pt idx="88">
                  <c:v>10080.0</c:v>
                </c:pt>
                <c:pt idx="89">
                  <c:v>11328.0</c:v>
                </c:pt>
                <c:pt idx="90">
                  <c:v>12576.0</c:v>
                </c:pt>
                <c:pt idx="91">
                  <c:v>13824.0</c:v>
                </c:pt>
                <c:pt idx="92">
                  <c:v>15072.0</c:v>
                </c:pt>
                <c:pt idx="93">
                  <c:v>16320.0</c:v>
                </c:pt>
                <c:pt idx="94">
                  <c:v>17568.0</c:v>
                </c:pt>
                <c:pt idx="95">
                  <c:v>18816.0</c:v>
                </c:pt>
                <c:pt idx="96">
                  <c:v>19112.33</c:v>
                </c:pt>
                <c:pt idx="97">
                  <c:v>19408.66</c:v>
                </c:pt>
                <c:pt idx="98">
                  <c:v>19704.99</c:v>
                </c:pt>
                <c:pt idx="99">
                  <c:v>20001.32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759864"/>
        <c:axId val="18925379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29946.91949437329</c:v>
                </c:pt>
                <c:pt idx="1">
                  <c:v>29946.91949437329</c:v>
                </c:pt>
                <c:pt idx="2">
                  <c:v>29946.91949437329</c:v>
                </c:pt>
                <c:pt idx="3">
                  <c:v>29946.91949437329</c:v>
                </c:pt>
                <c:pt idx="4">
                  <c:v>29946.91949437329</c:v>
                </c:pt>
                <c:pt idx="5">
                  <c:v>29946.91949437329</c:v>
                </c:pt>
                <c:pt idx="6">
                  <c:v>29946.91949437329</c:v>
                </c:pt>
                <c:pt idx="7">
                  <c:v>29946.91949437329</c:v>
                </c:pt>
                <c:pt idx="8">
                  <c:v>29946.91949437329</c:v>
                </c:pt>
                <c:pt idx="9">
                  <c:v>29946.91949437329</c:v>
                </c:pt>
                <c:pt idx="10">
                  <c:v>29946.91949437329</c:v>
                </c:pt>
                <c:pt idx="11">
                  <c:v>29946.91949437329</c:v>
                </c:pt>
                <c:pt idx="12">
                  <c:v>29946.91949437329</c:v>
                </c:pt>
                <c:pt idx="13">
                  <c:v>29946.91949437329</c:v>
                </c:pt>
                <c:pt idx="14">
                  <c:v>29946.91949437329</c:v>
                </c:pt>
                <c:pt idx="15">
                  <c:v>29946.91949437329</c:v>
                </c:pt>
                <c:pt idx="16">
                  <c:v>29946.91949437329</c:v>
                </c:pt>
                <c:pt idx="17">
                  <c:v>29946.91949437329</c:v>
                </c:pt>
                <c:pt idx="18">
                  <c:v>29946.91949437329</c:v>
                </c:pt>
                <c:pt idx="19">
                  <c:v>29946.91949437329</c:v>
                </c:pt>
                <c:pt idx="20">
                  <c:v>29946.91949437329</c:v>
                </c:pt>
                <c:pt idx="21">
                  <c:v>29946.91949437329</c:v>
                </c:pt>
                <c:pt idx="22">
                  <c:v>29946.91949437329</c:v>
                </c:pt>
                <c:pt idx="23">
                  <c:v>29946.91949437329</c:v>
                </c:pt>
                <c:pt idx="24">
                  <c:v>29946.91949437329</c:v>
                </c:pt>
                <c:pt idx="25">
                  <c:v>29946.91949437329</c:v>
                </c:pt>
                <c:pt idx="26">
                  <c:v>29946.91949437329</c:v>
                </c:pt>
                <c:pt idx="27">
                  <c:v>29946.91949437329</c:v>
                </c:pt>
                <c:pt idx="28">
                  <c:v>29946.91949437329</c:v>
                </c:pt>
                <c:pt idx="29">
                  <c:v>29946.91949437329</c:v>
                </c:pt>
                <c:pt idx="30">
                  <c:v>29946.91949437329</c:v>
                </c:pt>
                <c:pt idx="31">
                  <c:v>29946.91949437329</c:v>
                </c:pt>
                <c:pt idx="32">
                  <c:v>29946.91949437329</c:v>
                </c:pt>
                <c:pt idx="33">
                  <c:v>29946.91949437329</c:v>
                </c:pt>
                <c:pt idx="34">
                  <c:v>29946.91949437329</c:v>
                </c:pt>
                <c:pt idx="35">
                  <c:v>29946.91949437329</c:v>
                </c:pt>
                <c:pt idx="36">
                  <c:v>29946.91949437329</c:v>
                </c:pt>
                <c:pt idx="37">
                  <c:v>29946.91949437329</c:v>
                </c:pt>
                <c:pt idx="38">
                  <c:v>29946.91949437329</c:v>
                </c:pt>
                <c:pt idx="39">
                  <c:v>29946.91949437329</c:v>
                </c:pt>
                <c:pt idx="40">
                  <c:v>29946.91949437329</c:v>
                </c:pt>
                <c:pt idx="41">
                  <c:v>29946.91949437329</c:v>
                </c:pt>
                <c:pt idx="42">
                  <c:v>29946.91949437329</c:v>
                </c:pt>
                <c:pt idx="43">
                  <c:v>29946.91949437329</c:v>
                </c:pt>
                <c:pt idx="44">
                  <c:v>29946.91949437329</c:v>
                </c:pt>
                <c:pt idx="45">
                  <c:v>29946.91949437329</c:v>
                </c:pt>
                <c:pt idx="46">
                  <c:v>29946.91949437329</c:v>
                </c:pt>
                <c:pt idx="47">
                  <c:v>29946.91949437329</c:v>
                </c:pt>
                <c:pt idx="48">
                  <c:v>29946.91949437329</c:v>
                </c:pt>
                <c:pt idx="49">
                  <c:v>29946.91949437329</c:v>
                </c:pt>
                <c:pt idx="50">
                  <c:v>29946.91949437329</c:v>
                </c:pt>
                <c:pt idx="51">
                  <c:v>29946.91949437329</c:v>
                </c:pt>
                <c:pt idx="52">
                  <c:v>29946.91949437329</c:v>
                </c:pt>
                <c:pt idx="53">
                  <c:v>29946.91949437329</c:v>
                </c:pt>
                <c:pt idx="54">
                  <c:v>29946.91949437329</c:v>
                </c:pt>
                <c:pt idx="55">
                  <c:v>29946.91949437329</c:v>
                </c:pt>
                <c:pt idx="56">
                  <c:v>29946.91949437329</c:v>
                </c:pt>
                <c:pt idx="57">
                  <c:v>29946.91949437329</c:v>
                </c:pt>
                <c:pt idx="58">
                  <c:v>29946.91949437329</c:v>
                </c:pt>
                <c:pt idx="59">
                  <c:v>29946.91949437329</c:v>
                </c:pt>
                <c:pt idx="60">
                  <c:v>29946.91949437329</c:v>
                </c:pt>
                <c:pt idx="61">
                  <c:v>29946.91949437329</c:v>
                </c:pt>
                <c:pt idx="62">
                  <c:v>29946.91949437329</c:v>
                </c:pt>
                <c:pt idx="63">
                  <c:v>29946.91949437329</c:v>
                </c:pt>
                <c:pt idx="64">
                  <c:v>29946.91949437329</c:v>
                </c:pt>
                <c:pt idx="65">
                  <c:v>29946.91949437329</c:v>
                </c:pt>
                <c:pt idx="66">
                  <c:v>29946.91949437329</c:v>
                </c:pt>
                <c:pt idx="67">
                  <c:v>29946.91949437329</c:v>
                </c:pt>
                <c:pt idx="68">
                  <c:v>29946.91949437329</c:v>
                </c:pt>
                <c:pt idx="69">
                  <c:v>29946.91949437329</c:v>
                </c:pt>
                <c:pt idx="70">
                  <c:v>29946.91949437329</c:v>
                </c:pt>
                <c:pt idx="71">
                  <c:v>29946.91949437329</c:v>
                </c:pt>
                <c:pt idx="72">
                  <c:v>29946.91949437329</c:v>
                </c:pt>
                <c:pt idx="73">
                  <c:v>29946.91949437329</c:v>
                </c:pt>
                <c:pt idx="74">
                  <c:v>29946.91949437329</c:v>
                </c:pt>
                <c:pt idx="75">
                  <c:v>29946.91949437329</c:v>
                </c:pt>
                <c:pt idx="76">
                  <c:v>29946.91949437329</c:v>
                </c:pt>
                <c:pt idx="77">
                  <c:v>29946.91949437329</c:v>
                </c:pt>
                <c:pt idx="78">
                  <c:v>29946.91949437329</c:v>
                </c:pt>
                <c:pt idx="79">
                  <c:v>29946.91949437329</c:v>
                </c:pt>
                <c:pt idx="80">
                  <c:v>29946.91949437329</c:v>
                </c:pt>
                <c:pt idx="81">
                  <c:v>29946.91949437329</c:v>
                </c:pt>
                <c:pt idx="82">
                  <c:v>29946.91949437329</c:v>
                </c:pt>
                <c:pt idx="83">
                  <c:v>29946.91949437329</c:v>
                </c:pt>
                <c:pt idx="84">
                  <c:v>29946.91949437329</c:v>
                </c:pt>
                <c:pt idx="85">
                  <c:v>29946.91949437329</c:v>
                </c:pt>
                <c:pt idx="86">
                  <c:v>29946.91949437329</c:v>
                </c:pt>
                <c:pt idx="87">
                  <c:v>29946.91949437329</c:v>
                </c:pt>
                <c:pt idx="88">
                  <c:v>29946.91949437329</c:v>
                </c:pt>
                <c:pt idx="89">
                  <c:v>29946.91949437329</c:v>
                </c:pt>
                <c:pt idx="90">
                  <c:v>29946.91949437329</c:v>
                </c:pt>
                <c:pt idx="91">
                  <c:v>29946.91949437329</c:v>
                </c:pt>
                <c:pt idx="92">
                  <c:v>29946.91949437329</c:v>
                </c:pt>
                <c:pt idx="93">
                  <c:v>29946.91949437329</c:v>
                </c:pt>
                <c:pt idx="94">
                  <c:v>29946.91949437329</c:v>
                </c:pt>
                <c:pt idx="95">
                  <c:v>29946.91949437329</c:v>
                </c:pt>
                <c:pt idx="96">
                  <c:v>29946.91949437329</c:v>
                </c:pt>
                <c:pt idx="97">
                  <c:v>29946.91949437329</c:v>
                </c:pt>
                <c:pt idx="98">
                  <c:v>29946.91949437329</c:v>
                </c:pt>
                <c:pt idx="99">
                  <c:v>29946.91949437329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46140.41121288354</c:v>
                </c:pt>
                <c:pt idx="1">
                  <c:v>45800.15121288355</c:v>
                </c:pt>
                <c:pt idx="2">
                  <c:v>45459.89121288354</c:v>
                </c:pt>
                <c:pt idx="3">
                  <c:v>45119.63121288354</c:v>
                </c:pt>
                <c:pt idx="4">
                  <c:v>44779.37121288354</c:v>
                </c:pt>
                <c:pt idx="5">
                  <c:v>44439.11121288354</c:v>
                </c:pt>
                <c:pt idx="6">
                  <c:v>44098.85121288354</c:v>
                </c:pt>
                <c:pt idx="7">
                  <c:v>43758.59121288354</c:v>
                </c:pt>
                <c:pt idx="8">
                  <c:v>43418.33121288354</c:v>
                </c:pt>
                <c:pt idx="9">
                  <c:v>43078.07121288354</c:v>
                </c:pt>
                <c:pt idx="10">
                  <c:v>42737.81121288353</c:v>
                </c:pt>
                <c:pt idx="11">
                  <c:v>42397.55121288354</c:v>
                </c:pt>
                <c:pt idx="12">
                  <c:v>42057.29121288355</c:v>
                </c:pt>
                <c:pt idx="13">
                  <c:v>41717.03121288354</c:v>
                </c:pt>
                <c:pt idx="14">
                  <c:v>41376.77121288354</c:v>
                </c:pt>
                <c:pt idx="15">
                  <c:v>41036.51121288355</c:v>
                </c:pt>
                <c:pt idx="16">
                  <c:v>40696.25121288354</c:v>
                </c:pt>
                <c:pt idx="17">
                  <c:v>40355.99121288354</c:v>
                </c:pt>
                <c:pt idx="18">
                  <c:v>40015.73121288354</c:v>
                </c:pt>
                <c:pt idx="19">
                  <c:v>39675.47121288354</c:v>
                </c:pt>
                <c:pt idx="20">
                  <c:v>39335.21121288354</c:v>
                </c:pt>
                <c:pt idx="21">
                  <c:v>38994.95121288354</c:v>
                </c:pt>
                <c:pt idx="22">
                  <c:v>38654.69121288354</c:v>
                </c:pt>
                <c:pt idx="23">
                  <c:v>38314.43121288354</c:v>
                </c:pt>
                <c:pt idx="24">
                  <c:v>38737.54728030143</c:v>
                </c:pt>
                <c:pt idx="25">
                  <c:v>39924.03941513722</c:v>
                </c:pt>
                <c:pt idx="26">
                  <c:v>41110.53154997301</c:v>
                </c:pt>
                <c:pt idx="27">
                  <c:v>42297.0236848088</c:v>
                </c:pt>
                <c:pt idx="28">
                  <c:v>43483.51581964458</c:v>
                </c:pt>
                <c:pt idx="29">
                  <c:v>44670.00795448038</c:v>
                </c:pt>
                <c:pt idx="30">
                  <c:v>45856.50008931615</c:v>
                </c:pt>
                <c:pt idx="31">
                  <c:v>47042.99222415195</c:v>
                </c:pt>
                <c:pt idx="32">
                  <c:v>48229.48435898773</c:v>
                </c:pt>
                <c:pt idx="33">
                  <c:v>49415.97649382352</c:v>
                </c:pt>
                <c:pt idx="34">
                  <c:v>50602.46862865931</c:v>
                </c:pt>
                <c:pt idx="35">
                  <c:v>51788.9607634951</c:v>
                </c:pt>
                <c:pt idx="36">
                  <c:v>52975.45289833088</c:v>
                </c:pt>
                <c:pt idx="37">
                  <c:v>54161.94503316668</c:v>
                </c:pt>
                <c:pt idx="38">
                  <c:v>55348.43716800247</c:v>
                </c:pt>
                <c:pt idx="39">
                  <c:v>56534.92930283825</c:v>
                </c:pt>
                <c:pt idx="40">
                  <c:v>57721.42143767404</c:v>
                </c:pt>
                <c:pt idx="41">
                  <c:v>58907.91357250983</c:v>
                </c:pt>
                <c:pt idx="42">
                  <c:v>60094.40570734561</c:v>
                </c:pt>
                <c:pt idx="43">
                  <c:v>61280.8978421814</c:v>
                </c:pt>
                <c:pt idx="44">
                  <c:v>62467.3899770172</c:v>
                </c:pt>
                <c:pt idx="45">
                  <c:v>63653.88211185297</c:v>
                </c:pt>
                <c:pt idx="46">
                  <c:v>64840.37424668876</c:v>
                </c:pt>
                <c:pt idx="47">
                  <c:v>66026.86638152455</c:v>
                </c:pt>
                <c:pt idx="48">
                  <c:v>67213.35851636035</c:v>
                </c:pt>
                <c:pt idx="49">
                  <c:v>68399.85065119613</c:v>
                </c:pt>
                <c:pt idx="50">
                  <c:v>69586.3427860319</c:v>
                </c:pt>
                <c:pt idx="51">
                  <c:v>70772.8349208677</c:v>
                </c:pt>
                <c:pt idx="52">
                  <c:v>71959.32705570348</c:v>
                </c:pt>
                <c:pt idx="53">
                  <c:v>73145.81919053927</c:v>
                </c:pt>
                <c:pt idx="54">
                  <c:v>74332.31132537506</c:v>
                </c:pt>
                <c:pt idx="55">
                  <c:v>75518.80346021085</c:v>
                </c:pt>
                <c:pt idx="56">
                  <c:v>76705.29559504664</c:v>
                </c:pt>
                <c:pt idx="57">
                  <c:v>77891.78772988244</c:v>
                </c:pt>
                <c:pt idx="58">
                  <c:v>79078.2798647182</c:v>
                </c:pt>
                <c:pt idx="59">
                  <c:v>80264.77199955402</c:v>
                </c:pt>
                <c:pt idx="60">
                  <c:v>81597.65869444346</c:v>
                </c:pt>
                <c:pt idx="61">
                  <c:v>83076.93994938656</c:v>
                </c:pt>
                <c:pt idx="62">
                  <c:v>84556.22120432969</c:v>
                </c:pt>
                <c:pt idx="63">
                  <c:v>86035.5024592728</c:v>
                </c:pt>
                <c:pt idx="64">
                  <c:v>87514.7837142159</c:v>
                </c:pt>
                <c:pt idx="65">
                  <c:v>88994.06496915902</c:v>
                </c:pt>
                <c:pt idx="66">
                  <c:v>90473.34622410212</c:v>
                </c:pt>
                <c:pt idx="67">
                  <c:v>91952.62747904522</c:v>
                </c:pt>
                <c:pt idx="68">
                  <c:v>93431.90873398834</c:v>
                </c:pt>
                <c:pt idx="69">
                  <c:v>94911.18998893145</c:v>
                </c:pt>
                <c:pt idx="70">
                  <c:v>96390.47124387455</c:v>
                </c:pt>
                <c:pt idx="71">
                  <c:v>97869.75249881769</c:v>
                </c:pt>
                <c:pt idx="72">
                  <c:v>99349.0337537608</c:v>
                </c:pt>
                <c:pt idx="73">
                  <c:v>100828.3150087039</c:v>
                </c:pt>
                <c:pt idx="74">
                  <c:v>102307.596263647</c:v>
                </c:pt>
                <c:pt idx="75">
                  <c:v>103786.8775185901</c:v>
                </c:pt>
                <c:pt idx="76">
                  <c:v>105266.1587735332</c:v>
                </c:pt>
                <c:pt idx="77">
                  <c:v>106745.4400284764</c:v>
                </c:pt>
                <c:pt idx="78">
                  <c:v>108224.7212834195</c:v>
                </c:pt>
                <c:pt idx="79">
                  <c:v>109704.0025383626</c:v>
                </c:pt>
                <c:pt idx="80">
                  <c:v>111183.2837933057</c:v>
                </c:pt>
                <c:pt idx="81">
                  <c:v>112662.5650482488</c:v>
                </c:pt>
                <c:pt idx="82">
                  <c:v>137330.6510729095</c:v>
                </c:pt>
                <c:pt idx="83">
                  <c:v>161998.7370975702</c:v>
                </c:pt>
                <c:pt idx="84">
                  <c:v>186666.823122231</c:v>
                </c:pt>
                <c:pt idx="85">
                  <c:v>211334.9091468917</c:v>
                </c:pt>
                <c:pt idx="86">
                  <c:v>236002.9951715524</c:v>
                </c:pt>
                <c:pt idx="87">
                  <c:v>260671.0811962132</c:v>
                </c:pt>
                <c:pt idx="88">
                  <c:v>285339.1672208739</c:v>
                </c:pt>
                <c:pt idx="89">
                  <c:v>310007.2532455347</c:v>
                </c:pt>
                <c:pt idx="90">
                  <c:v>334675.3392701954</c:v>
                </c:pt>
                <c:pt idx="91">
                  <c:v>359343.4252948561</c:v>
                </c:pt>
                <c:pt idx="92">
                  <c:v>384011.5113195168</c:v>
                </c:pt>
                <c:pt idx="93">
                  <c:v>408679.5973441776</c:v>
                </c:pt>
                <c:pt idx="94">
                  <c:v>433347.6833688383</c:v>
                </c:pt>
                <c:pt idx="95">
                  <c:v>458015.769393499</c:v>
                </c:pt>
                <c:pt idx="96">
                  <c:v>467795.570393499</c:v>
                </c:pt>
                <c:pt idx="97">
                  <c:v>477575.371393499</c:v>
                </c:pt>
                <c:pt idx="98">
                  <c:v>487355.172393499</c:v>
                </c:pt>
                <c:pt idx="99">
                  <c:v>497134.973393499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59864"/>
        <c:axId val="1892537976"/>
      </c:lineChart>
      <c:catAx>
        <c:axId val="188375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2537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92537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7598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0.112640099626401</c:v>
                </c:pt>
                <c:pt idx="1">
                  <c:v>0.112640099626401</c:v>
                </c:pt>
                <c:pt idx="2" formatCode="0.0%">
                  <c:v>0.112640099626401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0.0668038086342881</c:v>
                </c:pt>
                <c:pt idx="1">
                  <c:v>0.0668038086342881</c:v>
                </c:pt>
                <c:pt idx="2" formatCode="0.0%">
                  <c:v>0.0668038086342881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0.126108053920136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0.0591453922789539</c:v>
                </c:pt>
                <c:pt idx="1">
                  <c:v>0.0591453922789539</c:v>
                </c:pt>
                <c:pt idx="2" formatCode="0.0%">
                  <c:v>0.0591384442847118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0.0332389165628892</c:v>
                </c:pt>
                <c:pt idx="1">
                  <c:v>0.0332389165628892</c:v>
                </c:pt>
                <c:pt idx="2" formatCode="0.0%">
                  <c:v>0.0332389165628892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-1.94659757546112E-5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0.0148907222914072</c:v>
                </c:pt>
                <c:pt idx="1">
                  <c:v>0.0148907222914072</c:v>
                </c:pt>
                <c:pt idx="2" formatCode="0.0%">
                  <c:v>0.0148907222914072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0.0495018679950187</c:v>
                </c:pt>
                <c:pt idx="1">
                  <c:v>0.0495018679950187</c:v>
                </c:pt>
                <c:pt idx="2" formatCode="0.0%">
                  <c:v>0.0494746095296491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0.0600871731008717</c:v>
                </c:pt>
                <c:pt idx="1">
                  <c:v>0.0600871731008717</c:v>
                </c:pt>
                <c:pt idx="2" formatCode="0.0%">
                  <c:v>0.0600805556369518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0.0276385429638854</c:v>
                </c:pt>
                <c:pt idx="1">
                  <c:v>0.0276385429638854</c:v>
                </c:pt>
                <c:pt idx="2" formatCode="0.0%">
                  <c:v>0.0276381409443804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Rich!$K$31:$M$31</c:f>
              <c:numCache>
                <c:formatCode>0%</c:formatCode>
                <c:ptCount val="3"/>
                <c:pt idx="0">
                  <c:v>0.351660997820672</c:v>
                </c:pt>
                <c:pt idx="1">
                  <c:v>0.355177607798879</c:v>
                </c:pt>
                <c:pt idx="2" formatCode="0.0%">
                  <c:v>0.355174496590643</c:v>
                </c:pt>
              </c:numCache>
            </c:numRef>
          </c:val>
        </c:ser>
        <c:ser>
          <c:idx val="8"/>
          <c:order val="16"/>
          <c:tx>
            <c:strRef>
              <c:f>Rich!$A$32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Rich!$K$32:$M$32</c:f>
              <c:numCache>
                <c:formatCode>0%</c:formatCode>
                <c:ptCount val="3"/>
                <c:pt idx="0">
                  <c:v>0.754979626400996</c:v>
                </c:pt>
                <c:pt idx="1">
                  <c:v>0.713011558284881</c:v>
                </c:pt>
                <c:pt idx="2" formatCode="0.0%">
                  <c:v>0.751593570600982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434776"/>
        <c:axId val="-2022936280"/>
      </c:barChart>
      <c:catAx>
        <c:axId val="21394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93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93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3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0.0922673219178082</c:v>
                </c:pt>
                <c:pt idx="2" formatCode="0.0%">
                  <c:v>0.0922673219178082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0.0037126400996264</c:v>
                </c:pt>
                <c:pt idx="1">
                  <c:v>0.0037126400996264</c:v>
                </c:pt>
                <c:pt idx="2" formatCode="0.0%">
                  <c:v>0.00320813885774628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-5.63391449737322E-5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0.00927428393524284</c:v>
                </c:pt>
                <c:pt idx="2" formatCode="0.0%">
                  <c:v>0.00911420072021768</c:v>
                </c:pt>
              </c:numCache>
            </c:numRef>
          </c:val>
        </c:ser>
        <c:ser>
          <c:idx val="14"/>
          <c:order val="13"/>
          <c:tx>
            <c:strRef>
              <c:f>V.Poor!$A$29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V.Poor!$K$29:$M$29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0.021936859856787</c:v>
                </c:pt>
                <c:pt idx="2" formatCode="0.0%">
                  <c:v>0.0221753353942745</c:v>
                </c:pt>
              </c:numCache>
            </c:numRef>
          </c:val>
        </c:ser>
        <c:ser>
          <c:idx val="15"/>
          <c:order val="14"/>
          <c:tx>
            <c:strRef>
              <c:f>V.Poor!$A$30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V.Poor!$K$30:$M$30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0.0130448055519877</c:v>
                </c:pt>
              </c:numCache>
            </c:numRef>
          </c:val>
        </c:ser>
        <c:ser>
          <c:idx val="16"/>
          <c:order val="15"/>
          <c:tx>
            <c:strRef>
              <c:f>V.Poor!$A$31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V.Poor!$K$31:$M$31</c:f>
              <c:numCache>
                <c:formatCode>0%</c:formatCode>
                <c:ptCount val="3"/>
                <c:pt idx="0">
                  <c:v>0.075201346513076</c:v>
                </c:pt>
                <c:pt idx="1">
                  <c:v>0.0759533599782067</c:v>
                </c:pt>
                <c:pt idx="2" formatCode="0.0%">
                  <c:v>0.0726108077770282</c:v>
                </c:pt>
              </c:numCache>
            </c:numRef>
          </c:val>
        </c:ser>
        <c:ser>
          <c:idx val="8"/>
          <c:order val="16"/>
          <c:tx>
            <c:strRef>
              <c:f>V.Poor!$A$32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V.Poor!$K$32:$M$32</c:f>
              <c:numCache>
                <c:formatCode>0%</c:formatCode>
                <c:ptCount val="3"/>
                <c:pt idx="0">
                  <c:v>0.566234719800747</c:v>
                </c:pt>
                <c:pt idx="1">
                  <c:v>0.485463886249937</c:v>
                </c:pt>
                <c:pt idx="2" formatCode="0.0%">
                  <c:v>0.594755167250942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129720"/>
        <c:axId val="-2095476840"/>
      </c:barChart>
      <c:catAx>
        <c:axId val="188612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47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47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12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0.0429105141433908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1.33838313111546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0.419087351005159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0.00678707020103184</c:v>
                </c:pt>
                <c:pt idx="3">
                  <c:v>0.00334288532289628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0.0328255249955524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0.076374310620886</c:v>
                </c:pt>
                <c:pt idx="1">
                  <c:v>0.076374310620886</c:v>
                </c:pt>
                <c:pt idx="2">
                  <c:v>0.076374310620886</c:v>
                </c:pt>
                <c:pt idx="3">
                  <c:v>0.076374310620886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0.257516456146593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0.0315499555239281</c:v>
                </c:pt>
                <c:pt idx="1">
                  <c:v>0.0189342643657712</c:v>
                </c:pt>
                <c:pt idx="2">
                  <c:v>0.0252421099448497</c:v>
                </c:pt>
                <c:pt idx="3">
                  <c:v>0.0315499555239281</c:v>
                </c:pt>
              </c:numCache>
            </c:numRef>
          </c:val>
        </c:ser>
        <c:ser>
          <c:idx val="10"/>
          <c:order val="12"/>
          <c:tx>
            <c:strRef>
              <c:f>Poor!$A$30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(Poor!$AA$31,Poor!$AC$31,Poor!$AE$31,Poor!$AG$31)</c:f>
              <c:numCache>
                <c:formatCode>0.0%</c:formatCode>
                <c:ptCount val="4"/>
                <c:pt idx="0">
                  <c:v>0.383427661006257</c:v>
                </c:pt>
                <c:pt idx="1">
                  <c:v>0.383427661006257</c:v>
                </c:pt>
                <c:pt idx="2">
                  <c:v>0.383427661006257</c:v>
                </c:pt>
                <c:pt idx="3">
                  <c:v>0.383427661006257</c:v>
                </c:pt>
              </c:numCache>
            </c:numRef>
          </c:val>
        </c:ser>
        <c:ser>
          <c:idx val="13"/>
          <c:order val="14"/>
          <c:tx>
            <c:strRef>
              <c:f>Poor!$A$32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(Poor!$AA$32,Poor!$AC$32,Poor!$AE$32,Poor!$AG$32)</c:f>
              <c:numCache>
                <c:formatCode>0.0%;[Red]"Adjust!"</c:formatCode>
                <c:ptCount val="4"/>
                <c:pt idx="0">
                  <c:v>-2.873569159862162</c:v>
                </c:pt>
                <c:pt idx="1">
                  <c:v>-2.879181848707563</c:v>
                </c:pt>
                <c:pt idx="2">
                  <c:v>-2.851521382882977</c:v>
                </c:pt>
                <c:pt idx="3">
                  <c:v>7.424795265122375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014168"/>
        <c:axId val="1866534680"/>
      </c:barChart>
      <c:catAx>
        <c:axId val="-208101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534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6653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01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0.369069287671233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0.00320813885774628</c:v>
                </c:pt>
                <c:pt idx="1">
                  <c:v>0.00320813885774628</c:v>
                </c:pt>
                <c:pt idx="2">
                  <c:v>0.00320813885774628</c:v>
                </c:pt>
                <c:pt idx="3">
                  <c:v>0.00320813885774628</c:v>
                </c:pt>
              </c:numCache>
            </c:numRef>
          </c:val>
        </c:ser>
        <c:ser>
          <c:idx val="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(V.Poor!$AA$16,V.Poor!$AC$16,V.Poor!$AE$16,V.Poor!$AG$16)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-0.000225356579894929</c:v>
                </c:pt>
              </c:numCache>
            </c:numRef>
          </c:val>
        </c:ser>
        <c:ser>
          <c:idx val="9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(V.Poor!$AA$17,V.Poor!$AC$17,V.Poor!$AE$17,V.Poor!$AG$17)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V.Poor!$A$30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0.0260896111039754</c:v>
                </c:pt>
                <c:pt idx="3">
                  <c:v>0.0260896111039754</c:v>
                </c:pt>
              </c:numCache>
            </c:numRef>
          </c:val>
        </c:ser>
        <c:ser>
          <c:idx val="11"/>
          <c:order val="13"/>
          <c:tx>
            <c:strRef>
              <c:f>V.Poor!$A$31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(V.Poor!$AA$31,V.Poor!$AC$31,V.Poor!$AE$31,V.Poor!$AG$31)</c:f>
              <c:numCache>
                <c:formatCode>0.0%</c:formatCode>
                <c:ptCount val="4"/>
                <c:pt idx="0">
                  <c:v>0.0726108077770282</c:v>
                </c:pt>
                <c:pt idx="1">
                  <c:v>0.0726108077770282</c:v>
                </c:pt>
                <c:pt idx="2">
                  <c:v>0.0726108077770282</c:v>
                </c:pt>
                <c:pt idx="3">
                  <c:v>0.0726108077770282</c:v>
                </c:pt>
              </c:numCache>
            </c:numRef>
          </c:val>
        </c:ser>
        <c:ser>
          <c:idx val="13"/>
          <c:order val="14"/>
          <c:tx>
            <c:strRef>
              <c:f>V.Poor!$A$32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(V.Poor!$AA$32,V.Poor!$AC$32,V.Poor!$AE$32,V.Poor!$AG$32)</c:f>
              <c:numCache>
                <c:formatCode>0.0%;[Red]"Adjust!"</c:formatCode>
                <c:ptCount val="4"/>
                <c:pt idx="0">
                  <c:v>-2.620747801451454</c:v>
                </c:pt>
                <c:pt idx="1">
                  <c:v>-2.645536939683086</c:v>
                </c:pt>
                <c:pt idx="2">
                  <c:v>-2.632512271708605</c:v>
                </c:pt>
                <c:pt idx="3">
                  <c:v>9.71235191104694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720248"/>
        <c:axId val="1866987336"/>
      </c:barChart>
      <c:catAx>
        <c:axId val="-202872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987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6698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72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0.0218843622131293</c:v>
                </c:pt>
                <c:pt idx="1">
                  <c:v>0.0218843622131293</c:v>
                </c:pt>
                <c:pt idx="2">
                  <c:v>0.0424814090019569</c:v>
                </c:pt>
                <c:pt idx="3">
                  <c:v>0.0424814090019569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0.0858210282867817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0.0270008005692937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1.449343781504951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0.190201409511202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0.0305418159046433</c:v>
                </c:pt>
                <c:pt idx="3">
                  <c:v>0.0150429839530333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-0.00440660151170038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0.0150444634379451</c:v>
                </c:pt>
                <c:pt idx="1">
                  <c:v>0.0150444634379451</c:v>
                </c:pt>
                <c:pt idx="2">
                  <c:v>0.0150444634379451</c:v>
                </c:pt>
                <c:pt idx="3">
                  <c:v>0.0150444634379451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0.248528303624273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0.0276550061457831</c:v>
                </c:pt>
                <c:pt idx="1">
                  <c:v>0.0165967649939841</c:v>
                </c:pt>
                <c:pt idx="2">
                  <c:v>0.0221258855698836</c:v>
                </c:pt>
                <c:pt idx="3">
                  <c:v>0.0276550061457832</c:v>
                </c:pt>
              </c:numCache>
            </c:numRef>
          </c:val>
        </c:ser>
        <c:ser>
          <c:idx val="10"/>
          <c:order val="12"/>
          <c:tx>
            <c:strRef>
              <c:f>Middle!$A$30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(Middle!$AA$31,Middle!$AC$31,Middle!$AE$31,Middle!$AG$31)</c:f>
              <c:numCache>
                <c:formatCode>0.0%</c:formatCode>
                <c:ptCount val="4"/>
                <c:pt idx="0">
                  <c:v>0.230242500853306</c:v>
                </c:pt>
                <c:pt idx="1">
                  <c:v>0.230242500853306</c:v>
                </c:pt>
                <c:pt idx="2">
                  <c:v>0.230242500853306</c:v>
                </c:pt>
                <c:pt idx="3">
                  <c:v>0.230242500853306</c:v>
                </c:pt>
              </c:numCache>
            </c:numRef>
          </c:val>
        </c:ser>
        <c:ser>
          <c:idx val="13"/>
          <c:order val="14"/>
          <c:tx>
            <c:strRef>
              <c:f>Middle!$A$32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(Middle!$AA$32,Middle!$AC$32,Middle!$AE$32,Middle!$AG$32)</c:f>
              <c:numCache>
                <c:formatCode>0.0%;[Red]"Adjust!"</c:formatCode>
                <c:ptCount val="4"/>
                <c:pt idx="0">
                  <c:v>-1.506711537362824</c:v>
                </c:pt>
                <c:pt idx="1">
                  <c:v>-1.551113802721836</c:v>
                </c:pt>
                <c:pt idx="2">
                  <c:v>-1.556727880992096</c:v>
                </c:pt>
                <c:pt idx="3">
                  <c:v>4.617811533502206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6286424"/>
        <c:axId val="1885228248"/>
      </c:barChart>
      <c:catAx>
        <c:axId val="187628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28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8522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28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0.0765952677459527</c:v>
                </c:pt>
                <c:pt idx="1">
                  <c:v>0.0765952677459527</c:v>
                </c:pt>
                <c:pt idx="2">
                  <c:v>0.148684931506849</c:v>
                </c:pt>
                <c:pt idx="3">
                  <c:v>0.148684931506849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0.300373599003736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0.267215234537152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0.504432215680542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0.236553777138847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0.0890802963885429</c:v>
                </c:pt>
                <c:pt idx="3">
                  <c:v>0.0438753698630137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-7.78639030184449E-5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0.0595628891656289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0.0494746095296491</c:v>
                </c:pt>
                <c:pt idx="1">
                  <c:v>0.0494746095296491</c:v>
                </c:pt>
                <c:pt idx="2">
                  <c:v>0.0494746095296491</c:v>
                </c:pt>
                <c:pt idx="3">
                  <c:v>0.0494746095296491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0.240322222547807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0.0325135090069692</c:v>
                </c:pt>
                <c:pt idx="1">
                  <c:v>0.0195125275067326</c:v>
                </c:pt>
                <c:pt idx="2">
                  <c:v>0.0260130182568509</c:v>
                </c:pt>
                <c:pt idx="3">
                  <c:v>0.0325135090069692</c:v>
                </c:pt>
              </c:numCache>
            </c:numRef>
          </c:val>
        </c:ser>
        <c:ser>
          <c:idx val="10"/>
          <c:order val="12"/>
          <c:tx>
            <c:strRef>
              <c:f>Rich!$A$30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Rich!$A$31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(Rich!$AA$31,Rich!$AC$31,Rich!$AE$31,Rich!$AG$31)</c:f>
              <c:numCache>
                <c:formatCode>0.0%</c:formatCode>
                <c:ptCount val="4"/>
                <c:pt idx="0">
                  <c:v>0.355174496590643</c:v>
                </c:pt>
                <c:pt idx="1">
                  <c:v>0.355174496590643</c:v>
                </c:pt>
                <c:pt idx="2">
                  <c:v>0.355174496590643</c:v>
                </c:pt>
                <c:pt idx="3">
                  <c:v>0.355174496590643</c:v>
                </c:pt>
              </c:numCache>
            </c:numRef>
          </c:val>
        </c:ser>
        <c:ser>
          <c:idx val="13"/>
          <c:order val="14"/>
          <c:tx>
            <c:strRef>
              <c:f>Rich!$A$32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(Rich!$AA$32,Rich!$AC$32,Rich!$AE$32,Rich!$AG$32)</c:f>
              <c:numCache>
                <c:formatCode>0.0%;[Red]"Adjust!"</c:formatCode>
                <c:ptCount val="4"/>
                <c:pt idx="0">
                  <c:v>-0.529856676417107</c:v>
                </c:pt>
                <c:pt idx="1">
                  <c:v>-0.576496447985518</c:v>
                </c:pt>
                <c:pt idx="2">
                  <c:v>-0.684604009719447</c:v>
                </c:pt>
                <c:pt idx="3">
                  <c:v>1.770770820843143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974904"/>
        <c:axId val="1884035416"/>
      </c:barChart>
      <c:catAx>
        <c:axId val="-211897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035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8403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974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Poor!$A$39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0.0293231679684376</c:v>
                </c:pt>
                <c:pt idx="1">
                  <c:v>0.0302028630074907</c:v>
                </c:pt>
                <c:pt idx="2">
                  <c:v>0.0302028630074907</c:v>
                </c:pt>
              </c:numCache>
            </c:numRef>
          </c:val>
        </c:ser>
        <c:ser>
          <c:idx val="1"/>
          <c:order val="1"/>
          <c:tx>
            <c:strRef>
              <c:f>Poor!$A$40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0.00439847519526564</c:v>
                </c:pt>
                <c:pt idx="1">
                  <c:v>0.00448644469917095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0.00439847519526564</c:v>
                </c:pt>
                <c:pt idx="1">
                  <c:v>0.00448644469917095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Poor!$A$44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0.0146615839842188</c:v>
                </c:pt>
                <c:pt idx="1">
                  <c:v>0.0146615839842188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0.0131954255857969</c:v>
                </c:pt>
                <c:pt idx="1">
                  <c:v>0.0131954255857969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0.00256577719723829</c:v>
                </c:pt>
                <c:pt idx="1">
                  <c:v>0.00274538160104497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Poor!$A$48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0.0183269799802735</c:v>
                </c:pt>
                <c:pt idx="1">
                  <c:v>0.0183269799802735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0.0158345107029563</c:v>
                </c:pt>
                <c:pt idx="1">
                  <c:v>0.012667608562365</c:v>
                </c:pt>
                <c:pt idx="2">
                  <c:v>0.00879695039053128</c:v>
                </c:pt>
              </c:numCache>
            </c:numRef>
          </c:val>
        </c:ser>
        <c:ser>
          <c:idx val="12"/>
          <c:order val="12"/>
          <c:tx>
            <c:strRef>
              <c:f>Poor!$A$51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0.0305694026070962</c:v>
                </c:pt>
                <c:pt idx="1">
                  <c:v>0.0295208720976728</c:v>
                </c:pt>
                <c:pt idx="2">
                  <c:v>0.0295208720976728</c:v>
                </c:pt>
              </c:numCache>
            </c:numRef>
          </c:val>
        </c:ser>
        <c:ser>
          <c:idx val="13"/>
          <c:order val="13"/>
          <c:tx>
            <c:strRef>
              <c:f>Poor!$A$52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0.0211126809372751</c:v>
                </c:pt>
                <c:pt idx="1">
                  <c:v>0.0232239490310026</c:v>
                </c:pt>
                <c:pt idx="2">
                  <c:v>0.0232239490310026</c:v>
                </c:pt>
              </c:numCache>
            </c:numRef>
          </c:val>
        </c:ser>
        <c:ser>
          <c:idx val="14"/>
          <c:order val="14"/>
          <c:tx>
            <c:strRef>
              <c:f>Poor!$A$53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0.154826326873351</c:v>
                </c:pt>
                <c:pt idx="1">
                  <c:v>0.170308959560686</c:v>
                </c:pt>
                <c:pt idx="2">
                  <c:v>0.170308959560686</c:v>
                </c:pt>
              </c:numCache>
            </c:numRef>
          </c:val>
        </c:ser>
        <c:ser>
          <c:idx val="15"/>
          <c:order val="15"/>
          <c:tx>
            <c:strRef>
              <c:f>Poor!$A$54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0.219923759763282</c:v>
                </c:pt>
                <c:pt idx="1">
                  <c:v>0.235318422946712</c:v>
                </c:pt>
                <c:pt idx="2">
                  <c:v>0.235318422946712</c:v>
                </c:pt>
              </c:numCache>
            </c:numRef>
          </c:val>
        </c:ser>
        <c:ser>
          <c:idx val="16"/>
          <c:order val="16"/>
          <c:tx>
            <c:strRef>
              <c:f>Poor!$A$55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0.0941273691786847</c:v>
                </c:pt>
                <c:pt idx="1">
                  <c:v>0.103540106096553</c:v>
                </c:pt>
                <c:pt idx="2">
                  <c:v>0.124248127315864</c:v>
                </c:pt>
              </c:numCache>
            </c:numRef>
          </c:val>
        </c:ser>
        <c:ser>
          <c:idx val="18"/>
          <c:order val="18"/>
          <c:tx>
            <c:strRef>
              <c:f>Poor!$A$57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0.01407512062485</c:v>
                </c:pt>
                <c:pt idx="1">
                  <c:v>0.0147788766560926</c:v>
                </c:pt>
                <c:pt idx="2">
                  <c:v>0.0147788766560926</c:v>
                </c:pt>
              </c:numCache>
            </c:numRef>
          </c:val>
        </c:ser>
        <c:ser>
          <c:idx val="19"/>
          <c:order val="19"/>
          <c:tx>
            <c:strRef>
              <c:f>Poor!$A$58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0.292285341081758</c:v>
                </c:pt>
                <c:pt idx="1">
                  <c:v>0.324436728600752</c:v>
                </c:pt>
                <c:pt idx="2">
                  <c:v>0.324436728600752</c:v>
                </c:pt>
              </c:numCache>
            </c:numRef>
          </c:val>
        </c:ser>
        <c:ser>
          <c:idx val="20"/>
          <c:order val="20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0.0703756031242503</c:v>
                </c:pt>
                <c:pt idx="1">
                  <c:v>0.0738943832804628</c:v>
                </c:pt>
                <c:pt idx="2">
                  <c:v>0.0738943832804628</c:v>
                </c:pt>
              </c:numCache>
            </c:numRef>
          </c:val>
        </c:ser>
        <c:ser>
          <c:idx val="21"/>
          <c:order val="21"/>
          <c:tx>
            <c:strRef>
              <c:f>Poor!$A$60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Poor!$A$61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43352"/>
        <c:axId val="2140063752"/>
      </c:barChart>
      <c:catAx>
        <c:axId val="-20736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06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06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64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image" Target="../media/image1.png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406400</xdr:colOff>
      <xdr:row>55</xdr:row>
      <xdr:rowOff>165100</xdr:rowOff>
    </xdr:from>
    <xdr:to>
      <xdr:col>19</xdr:col>
      <xdr:colOff>12700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444500</xdr:colOff>
      <xdr:row>81</xdr:row>
      <xdr:rowOff>12700</xdr:rowOff>
    </xdr:from>
    <xdr:to>
      <xdr:col>17</xdr:col>
      <xdr:colOff>482600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0</xdr:colOff>
      <xdr:row>58</xdr:row>
      <xdr:rowOff>114300</xdr:rowOff>
    </xdr:from>
    <xdr:to>
      <xdr:col>33</xdr:col>
      <xdr:colOff>391668</xdr:colOff>
      <xdr:row>83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396200" y="11264900"/>
          <a:ext cx="7363968" cy="4693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25913.960217524134</v>
          </cell>
          <cell r="E1031">
            <v>22674.715190333613</v>
          </cell>
          <cell r="H1031">
            <v>22674.715190333613</v>
          </cell>
          <cell r="J1031">
            <v>19435.470163143094</v>
          </cell>
        </row>
        <row r="1032">
          <cell r="C1032">
            <v>17178.666666666668</v>
          </cell>
          <cell r="E1032">
            <v>15031.333333333334</v>
          </cell>
          <cell r="H1032">
            <v>15031.333333333334</v>
          </cell>
          <cell r="J1032">
            <v>12884</v>
          </cell>
        </row>
        <row r="1033">
          <cell r="C1033">
            <v>27744</v>
          </cell>
          <cell r="E1033">
            <v>24276</v>
          </cell>
          <cell r="H1033">
            <v>24276</v>
          </cell>
          <cell r="J1033">
            <v>20808</v>
          </cell>
        </row>
        <row r="1034">
          <cell r="C1034">
            <v>1290</v>
          </cell>
          <cell r="E1034">
            <v>3145</v>
          </cell>
          <cell r="H1034">
            <v>40270</v>
          </cell>
          <cell r="J1034">
            <v>77750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7</v>
          </cell>
          <cell r="H1039">
            <v>7</v>
          </cell>
          <cell r="J1039">
            <v>6</v>
          </cell>
        </row>
        <row r="1040">
          <cell r="C1040">
            <v>4</v>
          </cell>
          <cell r="E1040">
            <v>4</v>
          </cell>
          <cell r="H1040">
            <v>4</v>
          </cell>
          <cell r="J1040">
            <v>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1.6091442803771571E-2</v>
          </cell>
          <cell r="F1044">
            <v>0</v>
          </cell>
          <cell r="H1044">
            <v>3.2182885607543142E-2</v>
          </cell>
          <cell r="I1044">
            <v>0</v>
          </cell>
          <cell r="J1044">
            <v>0.11264009962640099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1.0727628535847715E-2</v>
          </cell>
          <cell r="F1045">
            <v>0</v>
          </cell>
          <cell r="H1045">
            <v>2.1455257071695429E-2</v>
          </cell>
          <cell r="I1045">
            <v>0</v>
          </cell>
          <cell r="J1045">
            <v>7.5093399750934001E-2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6.7502001423234296E-3</v>
          </cell>
          <cell r="I1046">
            <v>0</v>
          </cell>
          <cell r="J1046">
            <v>6.6803808634288087E-2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0.28051969667318982</v>
          </cell>
          <cell r="F1048">
            <v>5.4076086105675158E-2</v>
          </cell>
          <cell r="H1048">
            <v>0.37177309197651659</v>
          </cell>
          <cell r="I1048">
            <v>0.16222825831702553</v>
          </cell>
          <cell r="J1048">
            <v>0.12617753424657532</v>
          </cell>
          <cell r="K1048">
            <v>0.6308876712328767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5.0696050524817647E-2</v>
          </cell>
          <cell r="F1049">
            <v>5.4075787226472154E-2</v>
          </cell>
          <cell r="H1049">
            <v>5.0696050524817647E-2</v>
          </cell>
          <cell r="I1049">
            <v>5.4075787226472154E-2</v>
          </cell>
          <cell r="J1049">
            <v>5.914539227895392E-2</v>
          </cell>
          <cell r="K1049">
            <v>6.3088418430884183E-2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2.5324888809820311E-3</v>
          </cell>
          <cell r="F1050">
            <v>0</v>
          </cell>
          <cell r="H1050">
            <v>1.1396199964419141E-2</v>
          </cell>
          <cell r="I1050">
            <v>0</v>
          </cell>
          <cell r="J1050">
            <v>3.3238916562889159E-2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8.2063812488880998E-3</v>
          </cell>
          <cell r="F1051">
            <v>0</v>
          </cell>
          <cell r="H1051">
            <v>0</v>
          </cell>
          <cell r="I1051">
            <v>1.8937802882049458E-2</v>
          </cell>
          <cell r="J1051">
            <v>0</v>
          </cell>
          <cell r="K1051">
            <v>0.17675282689912825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1.2763476249777621E-2</v>
          </cell>
          <cell r="F1052">
            <v>0</v>
          </cell>
          <cell r="H1052">
            <v>1.2763476249777621E-2</v>
          </cell>
          <cell r="I1052">
            <v>0</v>
          </cell>
          <cell r="J1052">
            <v>1.4890722291407223E-2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3.7126400996264014E-3</v>
          </cell>
          <cell r="D1053">
            <v>4.6408001245330018E-2</v>
          </cell>
          <cell r="E1053">
            <v>2.3336594911937375E-2</v>
          </cell>
          <cell r="F1053">
            <v>5.3037715708948593E-2</v>
          </cell>
          <cell r="H1053">
            <v>2.1215086283579435E-2</v>
          </cell>
          <cell r="I1053">
            <v>0.10607543141789719</v>
          </cell>
          <cell r="J1053">
            <v>4.9501867995018684E-2</v>
          </cell>
          <cell r="K1053">
            <v>0.24750933997509336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2.575164561465931E-2</v>
          </cell>
          <cell r="F1054">
            <v>3.862746842198897E-2</v>
          </cell>
          <cell r="H1054">
            <v>6.4379114036648283E-2</v>
          </cell>
          <cell r="I1054">
            <v>3.8627468421988956E-2</v>
          </cell>
          <cell r="J1054">
            <v>6.0087173100871728E-2</v>
          </cell>
          <cell r="K1054">
            <v>6.0087173100871728E-2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2.369017968333037E-2</v>
          </cell>
          <cell r="F1055">
            <v>3.1288916562889138E-3</v>
          </cell>
          <cell r="H1055">
            <v>2.369017968333037E-2</v>
          </cell>
          <cell r="I1055">
            <v>3.1288916562889138E-3</v>
          </cell>
          <cell r="J1055">
            <v>2.7638542963885428E-2</v>
          </cell>
          <cell r="K1055">
            <v>3.6503735990037374E-3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1.8407145080946451E-2</v>
          </cell>
          <cell r="E1056">
            <v>0</v>
          </cell>
          <cell r="F1056">
            <v>0.05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9.1253395303326795E-2</v>
          </cell>
          <cell r="F1057">
            <v>0</v>
          </cell>
          <cell r="H1057">
            <v>0.10815217221135029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Labour: Harvesting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2.7038043052837572E-2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Gifts/remittances: cereal</v>
          </cell>
          <cell r="C1059">
            <v>5.8981942714819427E-3</v>
          </cell>
          <cell r="D1059">
            <v>0</v>
          </cell>
          <cell r="E1059">
            <v>8.0889521437466638E-3</v>
          </cell>
          <cell r="F1059">
            <v>0</v>
          </cell>
          <cell r="H1059">
            <v>1.0785269524995554E-2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</row>
        <row r="1065">
          <cell r="A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</row>
        <row r="1066">
          <cell r="A1066" t="str">
            <v>Food aid</v>
          </cell>
          <cell r="C1066">
            <v>8.9285714285714288E-2</v>
          </cell>
          <cell r="D1066">
            <v>0</v>
          </cell>
          <cell r="E1066">
            <v>8.5034013605442174E-2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other</v>
          </cell>
          <cell r="C1067">
            <v>2.5214781444582817E-2</v>
          </cell>
          <cell r="D1067">
            <v>-2.5214781444582817E-2</v>
          </cell>
          <cell r="E1067">
            <v>2.7554372887386588E-2</v>
          </cell>
          <cell r="F1067">
            <v>-2.7554372887386588E-2</v>
          </cell>
          <cell r="H1067">
            <v>4.3967135385162788E-2</v>
          </cell>
          <cell r="I1067">
            <v>-4.3967135385162788E-2</v>
          </cell>
          <cell r="J1067">
            <v>2.4782067247820672E-2</v>
          </cell>
          <cell r="K1067">
            <v>-2.4782067247820672E-2</v>
          </cell>
        </row>
        <row r="1068">
          <cell r="A1068" t="str">
            <v>Purchase - desirable</v>
          </cell>
          <cell r="C1068">
            <v>1.2904520547945206E-2</v>
          </cell>
          <cell r="D1068">
            <v>-1.2904520547945206E-2</v>
          </cell>
          <cell r="E1068">
            <v>0</v>
          </cell>
          <cell r="F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A1069" t="str">
            <v>Purchase - fpl non staple</v>
          </cell>
          <cell r="C1069">
            <v>7.5201346513075959E-2</v>
          </cell>
          <cell r="D1069">
            <v>0.30443000101787115</v>
          </cell>
          <cell r="E1069">
            <v>0.12499104585483009</v>
          </cell>
          <cell r="F1069">
            <v>0.25464030167611706</v>
          </cell>
          <cell r="H1069">
            <v>0.236300706057641</v>
          </cell>
          <cell r="I1069">
            <v>0.14333064147330618</v>
          </cell>
          <cell r="J1069">
            <v>0.35166099782067245</v>
          </cell>
          <cell r="K1069">
            <v>2.7970349710274758E-2</v>
          </cell>
        </row>
        <row r="1070">
          <cell r="A1070" t="str">
            <v>Purchase - staple</v>
          </cell>
          <cell r="C1070">
            <v>0.56623471980074724</v>
          </cell>
          <cell r="E1070">
            <v>0.64712539405799685</v>
          </cell>
          <cell r="H1070">
            <v>0.64712539405799685</v>
          </cell>
          <cell r="J1070">
            <v>0.75497962640099636</v>
          </cell>
        </row>
        <row r="1074">
          <cell r="A1074" t="str">
            <v>Pig sales: no sold</v>
          </cell>
          <cell r="C1074">
            <v>0</v>
          </cell>
          <cell r="D1074">
            <v>0</v>
          </cell>
          <cell r="E1074">
            <v>2000</v>
          </cell>
          <cell r="F1074">
            <v>0</v>
          </cell>
          <cell r="H1074">
            <v>2800</v>
          </cell>
          <cell r="I1074">
            <v>0</v>
          </cell>
          <cell r="J1074">
            <v>4900</v>
          </cell>
          <cell r="K1074">
            <v>0</v>
          </cell>
        </row>
        <row r="1075">
          <cell r="A1075" t="str">
            <v>Cattle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5000</v>
          </cell>
          <cell r="I1075">
            <v>2500</v>
          </cell>
          <cell r="J1075">
            <v>18000</v>
          </cell>
          <cell r="K1075">
            <v>0</v>
          </cell>
        </row>
        <row r="1076">
          <cell r="A1076" t="str">
            <v>Goat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1000</v>
          </cell>
          <cell r="I1076">
            <v>-250</v>
          </cell>
          <cell r="J1076">
            <v>2250</v>
          </cell>
          <cell r="K1076">
            <v>-750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300</v>
          </cell>
          <cell r="F1077">
            <v>-300</v>
          </cell>
          <cell r="H1077">
            <v>900</v>
          </cell>
          <cell r="I1077">
            <v>-900</v>
          </cell>
          <cell r="J1077">
            <v>3000</v>
          </cell>
          <cell r="K1077">
            <v>-3000</v>
          </cell>
        </row>
        <row r="1078">
          <cell r="A1078" t="str">
            <v>Maize (irrigated):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300</v>
          </cell>
          <cell r="I1078">
            <v>-300</v>
          </cell>
          <cell r="J1078">
            <v>300</v>
          </cell>
          <cell r="K1078">
            <v>-300</v>
          </cell>
        </row>
        <row r="1079">
          <cell r="A1079" t="str">
            <v>Beans season 2: kg produced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300</v>
          </cell>
          <cell r="I1079">
            <v>-300</v>
          </cell>
          <cell r="J1079">
            <v>2400</v>
          </cell>
          <cell r="K1079">
            <v>-2400</v>
          </cell>
        </row>
        <row r="1080">
          <cell r="A1080" t="str">
            <v>Other root crops (sweet potato): no. local meas</v>
          </cell>
          <cell r="C1080">
            <v>1000</v>
          </cell>
          <cell r="D1080">
            <v>-1000</v>
          </cell>
          <cell r="E1080">
            <v>1000</v>
          </cell>
          <cell r="F1080">
            <v>-1000</v>
          </cell>
          <cell r="H1080">
            <v>2000</v>
          </cell>
          <cell r="I1080">
            <v>-2000</v>
          </cell>
          <cell r="J1080">
            <v>4000</v>
          </cell>
          <cell r="K1080">
            <v>-4000</v>
          </cell>
        </row>
        <row r="1081">
          <cell r="A1081" t="str">
            <v>Groundnuts (dry): no. local meas</v>
          </cell>
          <cell r="C1081">
            <v>138</v>
          </cell>
          <cell r="D1081">
            <v>-138</v>
          </cell>
          <cell r="E1081">
            <v>900</v>
          </cell>
          <cell r="F1081">
            <v>-900</v>
          </cell>
          <cell r="H1081">
            <v>900</v>
          </cell>
          <cell r="I1081">
            <v>-900</v>
          </cell>
          <cell r="J1081">
            <v>1200</v>
          </cell>
          <cell r="K1081">
            <v>-1200</v>
          </cell>
        </row>
        <row r="1082">
          <cell r="A1082" t="str">
            <v>Other crop: Rape</v>
          </cell>
          <cell r="C1082">
            <v>0</v>
          </cell>
          <cell r="D1082">
            <v>0</v>
          </cell>
          <cell r="E1082">
            <v>175</v>
          </cell>
          <cell r="F1082">
            <v>-175</v>
          </cell>
          <cell r="H1082">
            <v>175</v>
          </cell>
          <cell r="I1082">
            <v>-175</v>
          </cell>
          <cell r="J1082">
            <v>175</v>
          </cell>
          <cell r="K1082">
            <v>-175</v>
          </cell>
        </row>
        <row r="1083">
          <cell r="A1083" t="str">
            <v>Other cashcrop (cabbage):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800</v>
          </cell>
          <cell r="I1083">
            <v>0</v>
          </cell>
          <cell r="J1083">
            <v>800</v>
          </cell>
          <cell r="K1083">
            <v>0</v>
          </cell>
        </row>
        <row r="1084">
          <cell r="A1084" t="str">
            <v>FISHING -- see worksheet Data 3</v>
          </cell>
          <cell r="C1084">
            <v>0</v>
          </cell>
          <cell r="D1084">
            <v>0</v>
          </cell>
          <cell r="E1084">
            <v>1250</v>
          </cell>
          <cell r="F1084">
            <v>-1250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WILD FOODS -- see worksheet Data 3</v>
          </cell>
          <cell r="C1085">
            <v>1340</v>
          </cell>
          <cell r="D1085">
            <v>-590</v>
          </cell>
          <cell r="E1085">
            <v>1080</v>
          </cell>
          <cell r="F1085">
            <v>-330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casual work -- see Data2</v>
          </cell>
          <cell r="C1086">
            <v>900</v>
          </cell>
          <cell r="D1086">
            <v>0</v>
          </cell>
          <cell r="E1086">
            <v>2085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Construction casual work -- see Data2</v>
          </cell>
          <cell r="C1087">
            <v>1440</v>
          </cell>
          <cell r="D1087">
            <v>0</v>
          </cell>
          <cell r="E1087">
            <v>1440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Domestic casual work -- see Data2</v>
          </cell>
          <cell r="C1088">
            <v>4800</v>
          </cell>
          <cell r="D1088">
            <v>0</v>
          </cell>
          <cell r="E1088">
            <v>10560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Labour migration: no. people per HH</v>
          </cell>
          <cell r="C1089">
            <v>0</v>
          </cell>
          <cell r="D1089">
            <v>0</v>
          </cell>
          <cell r="E1089">
            <v>15000</v>
          </cell>
          <cell r="F1089">
            <v>0</v>
          </cell>
          <cell r="H1089">
            <v>42000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Formal Employment (e.g. teachers, salaried staff, etc.)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H1090">
            <v>24000</v>
          </cell>
          <cell r="I1090">
            <v>0</v>
          </cell>
          <cell r="J1090">
            <v>144000</v>
          </cell>
          <cell r="K1090">
            <v>0</v>
          </cell>
        </row>
        <row r="1091">
          <cell r="A1091" t="str">
            <v>Self-employment -- see Data2</v>
          </cell>
          <cell r="C1091">
            <v>5250</v>
          </cell>
          <cell r="D1091">
            <v>1050</v>
          </cell>
          <cell r="E1091">
            <v>6420</v>
          </cell>
          <cell r="F1091">
            <v>1284</v>
          </cell>
          <cell r="H1091">
            <v>6840</v>
          </cell>
          <cell r="I1091">
            <v>1368</v>
          </cell>
          <cell r="J1091">
            <v>0</v>
          </cell>
          <cell r="K1091">
            <v>0</v>
          </cell>
        </row>
        <row r="1092">
          <cell r="A1092" t="str">
            <v>Small business -- see Data2</v>
          </cell>
          <cell r="C1092">
            <v>0</v>
          </cell>
          <cell r="D1092">
            <v>0</v>
          </cell>
          <cell r="E1092">
            <v>960</v>
          </cell>
          <cell r="F1092">
            <v>0</v>
          </cell>
          <cell r="H1092">
            <v>0</v>
          </cell>
          <cell r="I1092">
            <v>0</v>
          </cell>
          <cell r="J1092">
            <v>144000</v>
          </cell>
          <cell r="K1092">
            <v>0</v>
          </cell>
        </row>
        <row r="1093">
          <cell r="A1093" t="str">
            <v>Social Cash Transfers -- see Data2</v>
          </cell>
          <cell r="C1093">
            <v>21480.909090909092</v>
          </cell>
          <cell r="D1093">
            <v>0</v>
          </cell>
          <cell r="E1093">
            <v>19935.454545454548</v>
          </cell>
          <cell r="F1093">
            <v>0</v>
          </cell>
          <cell r="H1093">
            <v>7917.2727272727288</v>
          </cell>
          <cell r="I1093">
            <v>0</v>
          </cell>
          <cell r="J1093">
            <v>7917.2727272727288</v>
          </cell>
          <cell r="K1093">
            <v>0</v>
          </cell>
        </row>
        <row r="1094">
          <cell r="A1094" t="str">
            <v>Remittances: no. times per year</v>
          </cell>
          <cell r="C1094">
            <v>0</v>
          </cell>
          <cell r="D1094">
            <v>0</v>
          </cell>
          <cell r="E1094">
            <v>4800</v>
          </cell>
          <cell r="F1094">
            <v>0</v>
          </cell>
          <cell r="H1094">
            <v>1200</v>
          </cell>
          <cell r="I1094">
            <v>0</v>
          </cell>
          <cell r="J1094">
            <v>14400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1"/>
  <sheetViews>
    <sheetView showGridLines="0" workbookViewId="0">
      <pane xSplit="1" ySplit="2" topLeftCell="B46" activePane="bottomRight" state="frozen"/>
      <selection pane="topRight" activeCell="B1" sqref="B1"/>
      <selection pane="bottomLeft" activeCell="A3" sqref="A3"/>
      <selection pane="bottomRight" activeCell="T38" sqref="T3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09"/>
      <c r="X1" s="113" t="s">
        <v>67</v>
      </c>
      <c r="Y1" s="114" t="s">
        <v>58</v>
      </c>
      <c r="Z1" s="244" t="str">
        <f>Poor!Z1</f>
        <v>Apr-Jun</v>
      </c>
      <c r="AA1" s="245"/>
      <c r="AB1" s="244" t="str">
        <f>Poor!AB1</f>
        <v>Jul-Sep</v>
      </c>
      <c r="AC1" s="245"/>
      <c r="AD1" s="244" t="str">
        <f>Poor!AD1</f>
        <v>Oct-Dec</v>
      </c>
      <c r="AE1" s="245"/>
      <c r="AF1" s="244" t="str">
        <f>Poor!AF1</f>
        <v>Jan-Mar</v>
      </c>
      <c r="AG1" s="245"/>
      <c r="AH1" s="116"/>
      <c r="AI1" s="109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09"/>
      <c r="X2" s="117" t="s">
        <v>59</v>
      </c>
      <c r="Y2" s="114" t="s">
        <v>60</v>
      </c>
      <c r="Z2" s="246" t="str">
        <f>Poor!Z2</f>
        <v>Q1</v>
      </c>
      <c r="AA2" s="247"/>
      <c r="AB2" s="246" t="str">
        <f>Poor!AB2</f>
        <v>Q2</v>
      </c>
      <c r="AC2" s="247"/>
      <c r="AD2" s="246" t="str">
        <f>Poor!AD2</f>
        <v>Q3</v>
      </c>
      <c r="AE2" s="247"/>
      <c r="AF2" s="246" t="str">
        <f>Poor!AF2</f>
        <v>Q4</v>
      </c>
      <c r="AG2" s="247"/>
      <c r="AH2" s="116"/>
      <c r="AI2" s="109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09"/>
      <c r="X3" s="117"/>
      <c r="Y3" s="114" t="s">
        <v>61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09"/>
      <c r="X4" s="117"/>
      <c r="Y4" s="114" t="s">
        <v>62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30" si="0">(B6+C6)</f>
        <v>0</v>
      </c>
      <c r="E6" s="75">
        <f>Poor!E6</f>
        <v>1</v>
      </c>
      <c r="F6" s="2" t="s">
        <v>21</v>
      </c>
      <c r="H6" s="24">
        <f t="shared" ref="H6:H31" si="1">(E6*F$7/F$9)</f>
        <v>1</v>
      </c>
      <c r="I6" s="22">
        <f t="shared" ref="I6:I31" si="2">(D6*H6)</f>
        <v>0</v>
      </c>
      <c r="J6" s="24">
        <f t="shared" ref="J6:J28" si="3">IF(I$34&lt;=1+I$123,I6,B6*H6+J$35*(I6-B6*H6))</f>
        <v>0</v>
      </c>
      <c r="K6" s="22">
        <f t="shared" ref="K6:K33" si="4">B6</f>
        <v>0</v>
      </c>
      <c r="L6" s="22">
        <f t="shared" ref="L6:L31" si="5">IF(K6="","",K6*H6)</f>
        <v>0</v>
      </c>
      <c r="M6" s="176">
        <f t="shared" ref="M6:M33" si="6">J6</f>
        <v>0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4"/>
      <c r="X6" s="117"/>
      <c r="Y6" s="183">
        <f>M6*4</f>
        <v>0</v>
      </c>
      <c r="Z6" s="155">
        <f>Poor!Z6</f>
        <v>0.17</v>
      </c>
      <c r="AA6" s="120">
        <f>$M6*Z6*4</f>
        <v>0</v>
      </c>
      <c r="AB6" s="155">
        <f>Poor!AB6</f>
        <v>0.17</v>
      </c>
      <c r="AC6" s="120">
        <f t="shared" ref="AC6:AC31" si="7">$M6*AB6*4</f>
        <v>0</v>
      </c>
      <c r="AD6" s="155">
        <f>Poor!AD6</f>
        <v>0.33</v>
      </c>
      <c r="AE6" s="120">
        <f t="shared" ref="AE6:AE31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3">
        <f>SUM(AA6,AC6,AE6,AG6)/4</f>
        <v>0</v>
      </c>
      <c r="AJ6" s="119">
        <f>(AA6+AC6)/2</f>
        <v>0</v>
      </c>
      <c r="AK6" s="118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32">
        <v>3</v>
      </c>
      <c r="O7" s="2"/>
      <c r="P7" s="22"/>
      <c r="Q7" s="59" t="s">
        <v>71</v>
      </c>
      <c r="R7" s="225">
        <f>IF($B$78=0,0,(SUMIF($N$6:$N$30,$U7,K$6:K$30)+SUMIF($N$88:$N$110,$U7,K$88:K$110))*$I$80*Poor!$B$78/$B$78)</f>
        <v>1337.5451015125855</v>
      </c>
      <c r="S7" s="225">
        <f>IF($B$78=0,0,(SUMIF($N$6:$N$30,$U7,L$6:L$30)+SUMIF($N$88:$N$110,$U7,L$88:L$110))*$I$80*Poor!$B$78/$B$78)</f>
        <v>1337.5451015125855</v>
      </c>
      <c r="T7" s="225">
        <f>IF($B$78=0,0,(SUMIF($N$6:$N$30,$U7,M$6:M$30)+SUMIF($N$88:$N$110,$U7,M$88:M$110))*$I$80*Poor!$B$78/$B$78)</f>
        <v>1333.8177522879546</v>
      </c>
      <c r="U7" s="226">
        <v>1</v>
      </c>
      <c r="V7" s="56"/>
      <c r="W7" s="114"/>
      <c r="X7" s="117"/>
      <c r="Y7" s="183">
        <f t="shared" ref="Y7:Y31" si="9">M7*4</f>
        <v>0</v>
      </c>
      <c r="Z7" s="124">
        <f>IF($Y7=0,0,AA7/$Y7)</f>
        <v>0</v>
      </c>
      <c r="AA7" s="120">
        <f>IF($X7=1,IF(SUM(AA$6,AA$12:AA$31)&lt;1,IF((1-SUM(AA$6,AA$12:AA$31))*$M7/SUM($M$7*IF($X$7=1,1,0),$M$8*IF($X$8=1,1,0),$M$9*IF($X$9=1,1,0),$M$10*IF($X$10=1,1,0),$M$11*IF($X$11=1,1,0))&lt;Y7,(1-SUM(AA$6,AA$12:AA$31)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$31)&lt;1,IF(SUM(AC$6,AC$12:AC$31)+SUM((Y$7-AA$7)*IF($X$7&lt;3,1,0),(Y$8-AA$8)*IF($X$8&lt;3,1,0),(Y$9-AA$9)*IF($X$9&lt;3,1,0),(Y$10-AA$10)*IF($X$10&lt;3,1,0),(Y$11-AA$11)*IF($X$11&lt;3,1,0))&lt;1,Y7-AA7,IF((1-SUM(AC$6,AC$12:AC$31))*$M7/SUM($M$7*IF($X$7&lt;3,1,0),$M$8*IF($X$8&lt;3,1,0),$M$9*IF($X$9&lt;3,1,0),$M$10*IF($X$10&lt;3,1,0),$M$11*IF($X$11&lt;3,1,0))&lt;Y7-AA7,(1-SUM(AC$6,AC$12:AC$31)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$31)&lt;1,IF(SUM(AE$6:AE$6,AE$12:AE$31)+SUM((Y$7-AA$7-AC$7)*IF($X$7&lt;3,1,0),(Y$8-AA$8-AC$8)*IF($X$8&lt;3,1,0),(Y$9-AA$9-AC$9)*IF($X$9&lt;3,1,0),(Y$10-AA$10-AC$10)*IF($X$10&lt;3,1,0),(Y$11-AA$11-AC$11)*IF($X$11&lt;3,1,0))&lt;1,Y7-AA7-AC7,IF((1-SUM(AE$6:AE$6,AE$12:AE$31))*$M7/SUM($M$7*IF($X$7&lt;4,1,0),$M$8*IF($X$8&lt;4,1,0),$M$9*IF($X$9&lt;4,1,0),$M$10*IF($X$10&lt;4,1,0),$M$11*IF($X$11&lt;4,1,0))&lt;Y7-AA7-AC7,(1-SUM(AE$6:AE$6,AE$12:AE$31))*$M7/SUM($M$7*IF($X$7&lt;4,1,0),$M$8*IF($X$8&lt;4,1,0),$M$9*IF($X$9&lt;4,1,0),$M$10*IF($X$10&lt;4,1,0),$M$11*IF($X$11&lt;4,1,0)),Y7-AA7-AC7)),0),0)</f>
        <v>0</v>
      </c>
      <c r="AF7" s="121">
        <f t="shared" ref="AF7:AF31" si="10">1-SUM(Z7,AB7,AD7)</f>
        <v>1</v>
      </c>
      <c r="AG7" s="120">
        <f t="shared" ref="AG7:AG31" si="11">$M7*AF7*4</f>
        <v>0</v>
      </c>
      <c r="AH7" s="122">
        <f t="shared" ref="AH7:AH32" si="12">SUM(Z7,AB7,AD7,AF7)</f>
        <v>1</v>
      </c>
      <c r="AI7" s="183">
        <f t="shared" ref="AI7:AI32" si="13">SUM(AA7,AC7,AE7,AG7)/4</f>
        <v>0</v>
      </c>
      <c r="AJ7" s="119">
        <f t="shared" ref="AJ7:AJ33" si="14">(AA7+AC7)/2</f>
        <v>0</v>
      </c>
      <c r="AK7" s="118">
        <f t="shared" ref="AK7:AK33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7">
        <f t="shared" si="6"/>
        <v>0</v>
      </c>
      <c r="N8" s="232">
        <v>3</v>
      </c>
      <c r="O8" s="2"/>
      <c r="P8" s="22"/>
      <c r="Q8" s="59" t="s">
        <v>72</v>
      </c>
      <c r="R8" s="225">
        <f>IF($B$78=0,0,(SUMIF($N$6:$N$30,$U8,K$6:K$30)+SUMIF($N$88:$N$110,$U8,K$88:K$110))*$I$80*Poor!$B$78/$B$78)</f>
        <v>1115.2400000000002</v>
      </c>
      <c r="S8" s="225">
        <f>IF($B$78=0,0,(SUMIF($N$6:$N$30,$U8,L$6:L$30)+SUMIF($N$88:$N$110,$U8,L$88:L$110))*$I$80*Poor!$B$78/$B$78)</f>
        <v>995.75000000000023</v>
      </c>
      <c r="T8" s="225">
        <f>IF($B$78=0,0,(SUMIF($N$6:$N$30,$U8,M$6:M$30)+SUMIF($N$88:$N$110,$U8,M$88:M$110))*$I$80*Poor!$B$78/$B$78)</f>
        <v>1006.5747952534413</v>
      </c>
      <c r="U8" s="226">
        <v>2</v>
      </c>
      <c r="V8" s="56"/>
      <c r="W8" s="114"/>
      <c r="X8" s="117"/>
      <c r="Y8" s="183">
        <f t="shared" si="9"/>
        <v>0</v>
      </c>
      <c r="Z8" s="124">
        <f>IF($Y8=0,0,AA8/$Y8)</f>
        <v>0</v>
      </c>
      <c r="AA8" s="120">
        <f>IF($X8=1,IF(SUM(AA$6,AA$12:AA$31)&lt;1,IF((1-SUM(AA$6,AA$12:AA$31))*$M8/SUM($M$7*IF($X$7=1,1,0),$M$8*IF($X$8=1,1,0),$M$9*IF($X$9=1,1,0),$M$10*IF($X$10=1,1,0),$M$11*IF($X$11=1,1,0))&lt;Y8,(1-SUM(AA$6,AA$12:AA$31))*$M8/SUM($M$7*IF($X$7=1,1,0),$M$8*IF($X$8=1,1,0),$M$9*IF($X$9=1,1,0),$M$10*IF($X$10=1,1,0),$M$11*IF($X$11=1,1,0)),Y8),0),0)</f>
        <v>0</v>
      </c>
      <c r="AB8" s="124">
        <f>IF($Y8=0,0,AC8/$Y8)</f>
        <v>0</v>
      </c>
      <c r="AC8" s="120">
        <f>IF($X8&lt;3,IF(SUM(AC$6,AC$12:AC$31)&lt;1,IF(SUM(AC$6,AC$12:AC$31)+SUM((Y$7-AA$7)*IF($X$7&lt;3,1,0),(Y$8-AA$8)*IF($X$8&lt;3,1,0),(Y$9-AA$9)*IF($X$9&lt;3,1,0),(Y$10-AA$10)*IF($X$10&lt;3,1,0),(Y$11-AA$11)*IF($X$11&lt;3,1,0))&lt;1,Y8-AA8,IF((1-SUM(AC$6,AC$12:AC$31))*$M8/SUM($M$7*IF($X$7&lt;3,1,0),$M$8*IF($X$8&lt;3,1,0),$M$9*IF($X$9&lt;3,1,0),$M$10*IF($X$10&lt;3,1,0),$M$11*IF($X$11&lt;3,1,0))&lt;Y8-AA8,(1-SUM(AC$6,AC$12:AC$31))*$M8/SUM($M$7*IF($X$7&lt;3,1,0),$M$8*IF($X$8&lt;3,1,0),$M$9*IF($X$9&lt;3,1,0),$M$10*IF($X$10&lt;3,1,0),$M$11*IF($X$11&lt;3,1,0)),Y8-AA8)),0),0)</f>
        <v>0</v>
      </c>
      <c r="AD8" s="124">
        <f>IF($Y8=0,0,AE8/$Y8)</f>
        <v>0</v>
      </c>
      <c r="AE8" s="120">
        <f>IF($X8&lt;4,IF(SUM(AE$6:AE$6,AE$12:AE$31)&lt;1,IF(SUM(AE$6:AE$6,AE$12:AE$31)+SUM((Y$7-AA$7-AC$7)*IF($X$7&lt;3,1,0),(Y$8-AA$8-AC$8)*IF($X$8&lt;3,1,0),(Y$9-AA$9-AC$9)*IF($X$9&lt;3,1,0),(Y$10-AA$10-AC$10)*IF($X$10&lt;3,1,0),(Y$11-AA$11-AC$11)*IF($X$11&lt;3,1,0))&lt;1,Y8-AA8-AC8,IF((1-SUM(AE$6:AE$6,AE$12:AE$31))*$M8/SUM($M$7*IF($X$7&lt;4,1,0),$M$8*IF($X$8&lt;4,1,0),$M$9*IF($X$9&lt;4,1,0),$M$10*IF($X$10&lt;4,1,0),$M$11*IF($X$11&lt;4,1,0))&lt;Y8-AA8-AC8,(1-SUM(AE$6:AE$6,AE$12:AE$31))*$M8/SUM($M$7*IF($X$7&lt;4,1,0),$M$8*IF($X$8&lt;4,1,0),$M$9*IF($X$9&lt;4,1,0),$M$10*IF($X$10&lt;4,1,0),$M$11*IF($X$11&lt;4,1,0)),Y8-AA8-AC8)),0),0)</f>
        <v>0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3">
        <f t="shared" si="13"/>
        <v>0</v>
      </c>
      <c r="AJ8" s="119">
        <f t="shared" si="14"/>
        <v>0</v>
      </c>
      <c r="AK8" s="118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7">
        <f t="shared" si="6"/>
        <v>8.3333333333333329E-2</v>
      </c>
      <c r="N9" s="232">
        <v>1</v>
      </c>
      <c r="O9" s="2"/>
      <c r="P9" s="22"/>
      <c r="Q9" s="59" t="s">
        <v>73</v>
      </c>
      <c r="R9" s="225">
        <f>IF($B$78=0,0,(SUMIF($N$6:$N$30,$U9,K$6:K$30)+SUMIF($N$88:$N$110,$U9,K$88:K$110))*$I$80*Poor!$B$78/$B$78)</f>
        <v>0</v>
      </c>
      <c r="S9" s="225">
        <f>IF($B$78=0,0,(SUMIF($N$6:$N$30,$U9,L$6:L$30)+SUMIF($N$88:$N$110,$U9,L$88:L$110))*$I$80*Poor!$B$78/$B$78)</f>
        <v>0</v>
      </c>
      <c r="T9" s="225">
        <f>IF($B$78=0,0,(SUMIF($N$6:$N$30,$U9,M$6:M$30)+SUMIF($N$88:$N$110,$U9,M$88:M$110))*$I$80*Poor!$B$78/$B$78)</f>
        <v>0</v>
      </c>
      <c r="U9" s="226">
        <v>3</v>
      </c>
      <c r="V9" s="56"/>
      <c r="W9" s="114"/>
      <c r="X9" s="117">
        <f>Poor!X9</f>
        <v>4</v>
      </c>
      <c r="Y9" s="183">
        <f t="shared" si="9"/>
        <v>0.33333333333333331</v>
      </c>
      <c r="Z9" s="124">
        <f>IF($Y9=0,0,AA9/$Y9)</f>
        <v>0</v>
      </c>
      <c r="AA9" s="120">
        <f>IF($X9=1,IF(SUM(AA$6,AA$12:AA$31)&lt;1,IF((1-SUM(AA$6,AA$12:AA$31))*$M9/SUM($M$7*IF($X$7=1,1,0),$M$8*IF($X$8=1,1,0),$M$9*IF($X$9=1,1,0),$M$10*IF($X$10=1,1,0),$M$11*IF($X$11=1,1,0))&lt;Y9,(1-SUM(AA$6,AA$12:AA$31))*$M9/SUM($M$7*IF($X$7=1,1,0),$M$8*IF($X$8=1,1,0),$M$9*IF($X$9=1,1,0),$M$10*IF($X$10=1,1,0),$M$11*IF($X$11=1,1,0)),Y9),0),0)</f>
        <v>0</v>
      </c>
      <c r="AB9" s="124">
        <f>IF($Y9=0,0,AC9/$Y9)</f>
        <v>0</v>
      </c>
      <c r="AC9" s="120">
        <f>IF($X9&lt;3,IF(SUM(AC$6,AC$12:AC$31)&lt;1,IF(SUM(AC$6,AC$12:AC$31)+SUM((Y$7-AA$7)*IF($X$7&lt;3,1,0),(Y$8-AA$8)*IF($X$8&lt;3,1,0),(Y$9-AA$9)*IF($X$9&lt;3,1,0),(Y$10-AA$10)*IF($X$10&lt;3,1,0),(Y$11-AA$11)*IF($X$11&lt;3,1,0))&lt;1,Y9-AA9,IF((1-SUM(AC$6,AC$12:AC$31))*$M9/SUM($M$7*IF($X$7&lt;3,1,0),$M$8*IF($X$8&lt;3,1,0),$M$9*IF($X$9&lt;3,1,0),$M$10*IF($X$10&lt;3,1,0),$M$11*IF($X$11&lt;3,1,0))&lt;Y9-AA9,(1-SUM(AC$6,AC$12:AC$31))*$M9/SUM($M$7*IF($X$7&lt;3,1,0),$M$8*IF($X$8&lt;3,1,0),$M$9*IF($X$9&lt;3,1,0),$M$10*IF($X$10&lt;3,1,0),$M$11*IF($X$11&lt;3,1,0)),Y9-AA9)),0),0)</f>
        <v>0</v>
      </c>
      <c r="AD9" s="124">
        <f>IF($Y9=0,0,AE9/$Y9)</f>
        <v>0</v>
      </c>
      <c r="AE9" s="120">
        <f>IF($X9&lt;4,IF(SUM(AE$6:AE$6,AE$12:AE$31)&lt;1,IF(SUM(AE$6:AE$6,AE$12:AE$31)+SUM((Y$7-AA$7-AC$7)*IF($X$7&lt;3,1,0),(Y$8-AA$8-AC$8)*IF($X$8&lt;3,1,0),(Y$9-AA$9-AC$9)*IF($X$9&lt;3,1,0),(Y$10-AA$10-AC$10)*IF($X$10&lt;3,1,0),(Y$11-AA$11-AC$11)*IF($X$11&lt;3,1,0))&lt;1,Y9-AA9-AC9,IF((1-SUM(AE$6:AE$6,AE$12:AE$31))*$M9/SUM($M$7*IF($X$7&lt;4,1,0),$M$8*IF($X$8&lt;4,1,0),$M$9*IF($X$9&lt;4,1,0),$M$10*IF($X$10&lt;4,1,0),$M$11*IF($X$11&lt;4,1,0))&lt;Y9-AA9-AC9,(1-SUM(AE$6:AE$6,AE$12:AE$31))*$M9/SUM($M$7*IF($X$7&lt;4,1,0),$M$8*IF($X$8&lt;4,1,0),$M$9*IF($X$9&lt;4,1,0),$M$10*IF($X$10&lt;4,1,0),$M$11*IF($X$11&lt;4,1,0)),Y9-AA9-AC9)),0),0)</f>
        <v>0</v>
      </c>
      <c r="AF9" s="121">
        <f t="shared" si="10"/>
        <v>1</v>
      </c>
      <c r="AG9" s="120">
        <f t="shared" si="11"/>
        <v>0.33333333333333331</v>
      </c>
      <c r="AH9" s="122">
        <f t="shared" si="12"/>
        <v>1</v>
      </c>
      <c r="AI9" s="183">
        <f t="shared" si="13"/>
        <v>8.3333333333333329E-2</v>
      </c>
      <c r="AJ9" s="119">
        <f t="shared" si="14"/>
        <v>0</v>
      </c>
      <c r="AK9" s="118">
        <f t="shared" si="15"/>
        <v>0.16666666666666666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</v>
      </c>
      <c r="H10" s="24">
        <f t="shared" si="1"/>
        <v>1</v>
      </c>
      <c r="I10" s="22">
        <f t="shared" si="2"/>
        <v>9.2267321917808204E-2</v>
      </c>
      <c r="J10" s="24">
        <f t="shared" si="3"/>
        <v>9.2267321917808204E-2</v>
      </c>
      <c r="K10" s="22">
        <f t="shared" si="4"/>
        <v>9.2267321917808204E-2</v>
      </c>
      <c r="L10" s="22">
        <f t="shared" si="5"/>
        <v>9.2267321917808204E-2</v>
      </c>
      <c r="M10" s="227">
        <f t="shared" si="6"/>
        <v>9.2267321917808204E-2</v>
      </c>
      <c r="N10" s="232">
        <v>1</v>
      </c>
      <c r="O10" s="2"/>
      <c r="P10" s="22"/>
      <c r="Q10" s="59" t="s">
        <v>74</v>
      </c>
      <c r="R10" s="225">
        <f>IF($B$78=0,0,(SUMIF($N$6:$N$30,$U10,K$6:K$30)+SUMIF($N$88:$N$110,$U10,K$88:K$110))*$I$80*Poor!$B$78/$B$78)</f>
        <v>0</v>
      </c>
      <c r="S10" s="225">
        <f>IF($B$78=0,0,(SUMIF($N$6:$N$30,$U10,L$6:L$30)+SUMIF($N$88:$N$110,$U10,L$88:L$110))*$I$80*Poor!$B$78/$B$78)</f>
        <v>0</v>
      </c>
      <c r="T10" s="225">
        <f>IF($B$78=0,0,(SUMIF($N$6:$N$30,$U10,M$6:M$30)+SUMIF($N$88:$N$110,$U10,M$88:M$110))*$I$80*Poor!$B$78/$B$78)</f>
        <v>0</v>
      </c>
      <c r="U10" s="226">
        <v>4</v>
      </c>
      <c r="V10" s="56"/>
      <c r="W10" s="114"/>
      <c r="X10" s="117">
        <f>Poor!X10</f>
        <v>1</v>
      </c>
      <c r="Y10" s="183">
        <f t="shared" si="9"/>
        <v>0.36906928767123282</v>
      </c>
      <c r="Z10" s="124">
        <f>IF($Y10=0,0,AA10/$Y10)</f>
        <v>0</v>
      </c>
      <c r="AA10" s="120">
        <f>IF($X10=1,IF(SUM(AA$6,AA$12:AA$31)&lt;1,IF((1-SUM(AA$6,AA$12:AA$31))*$M10/SUM($M$7*IF($X$7=1,1,0),$M$8*IF($X$8=1,1,0),$M$9*IF($X$9=1,1,0),$M$10*IF($X$10=1,1,0),$M$11*IF($X$11=1,1,0))&lt;Y10,(1-SUM(AA$6,AA$12:AA$31))*$M10/SUM($M$7*IF($X$7=1,1,0),$M$8*IF($X$8=1,1,0),$M$9*IF($X$9=1,1,0),$M$10*IF($X$10=1,1,0),$M$11*IF($X$11=1,1,0)),Y10),0),0)</f>
        <v>0</v>
      </c>
      <c r="AB10" s="124">
        <f>IF($Y10=0,0,AC10/$Y10)</f>
        <v>0</v>
      </c>
      <c r="AC10" s="120">
        <f>IF($X10&lt;3,IF(SUM(AC$6,AC$12:AC$31)&lt;1,IF(SUM(AC$6,AC$12:AC$31)+SUM((Y$7-AA$7)*IF($X$7&lt;3,1,0),(Y$8-AA$8)*IF($X$8&lt;3,1,0),(Y$9-AA$9)*IF($X$9&lt;3,1,0),(Y$10-AA$10)*IF($X$10&lt;3,1,0),(Y$11-AA$11)*IF($X$11&lt;3,1,0))&lt;1,Y10-AA10,IF((1-SUM(AC$6,AC$12:AC$31))*$M10/SUM($M$7*IF($X$7&lt;3,1,0),$M$8*IF($X$8&lt;3,1,0),$M$9*IF($X$9&lt;3,1,0),$M$10*IF($X$10&lt;3,1,0),$M$11*IF($X$11&lt;3,1,0))&lt;Y10-AA10,(1-SUM(AC$6,AC$12:AC$31))*$M10/SUM($M$7*IF($X$7&lt;3,1,0),$M$8*IF($X$8&lt;3,1,0),$M$9*IF($X$9&lt;3,1,0),$M$10*IF($X$10&lt;3,1,0),$M$11*IF($X$11&lt;3,1,0)),Y10-AA10)),0),0)</f>
        <v>0</v>
      </c>
      <c r="AD10" s="124">
        <f>IF($Y10=0,0,AE10/$Y10)</f>
        <v>0</v>
      </c>
      <c r="AE10" s="120">
        <f>IF($X10&lt;4,IF(SUM(AE$6:AE$6,AE$12:AE$31)&lt;1,IF(SUM(AE$6:AE$6,AE$12:AE$31)+SUM((Y$7-AA$7-AC$7)*IF($X$7&lt;3,1,0),(Y$8-AA$8-AC$8)*IF($X$8&lt;3,1,0),(Y$9-AA$9-AC$9)*IF($X$9&lt;3,1,0),(Y$10-AA$10-AC$10)*IF($X$10&lt;3,1,0),(Y$11-AA$11-AC$11)*IF($X$11&lt;3,1,0))&lt;1,Y10-AA10-AC10,IF((1-SUM(AE$6:AE$6,AE$12:AE$31))*$M10/SUM($M$7*IF($X$7&lt;4,1,0),$M$8*IF($X$8&lt;4,1,0),$M$9*IF($X$9&lt;4,1,0),$M$10*IF($X$10&lt;4,1,0),$M$11*IF($X$11&lt;4,1,0))&lt;Y10-AA10-AC10,(1-SUM(AE$6:AE$6,AE$12:AE$31))*$M10/SUM($M$7*IF($X$7&lt;4,1,0),$M$8*IF($X$8&lt;4,1,0),$M$9*IF($X$9&lt;4,1,0),$M$10*IF($X$10&lt;4,1,0),$M$11*IF($X$11&lt;4,1,0)),Y10-AA10-AC10)),0),0)</f>
        <v>0</v>
      </c>
      <c r="AF10" s="121">
        <f t="shared" si="10"/>
        <v>1</v>
      </c>
      <c r="AG10" s="120">
        <f t="shared" si="11"/>
        <v>0.36906928767123282</v>
      </c>
      <c r="AH10" s="122">
        <f t="shared" si="12"/>
        <v>1</v>
      </c>
      <c r="AI10" s="183">
        <f t="shared" si="13"/>
        <v>9.2267321917808204E-2</v>
      </c>
      <c r="AJ10" s="119">
        <f t="shared" si="14"/>
        <v>0</v>
      </c>
      <c r="AK10" s="118">
        <f t="shared" si="15"/>
        <v>0.18453464383561641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IF($B$78=0,0,(SUMIF($N$6:$N$30,$U11,K$6:K$30)+SUMIF($N$88:$N$110,$U11,K$88:K$110))*$I$80*Poor!$B$78/$B$78)</f>
        <v>0</v>
      </c>
      <c r="S11" s="225">
        <f>IF($B$78=0,0,(SUMIF($N$6:$N$30,$U11,L$6:L$30)+SUMIF($N$88:$N$110,$U11,L$88:L$110))*$I$80*Poor!$B$78/$B$78)</f>
        <v>0</v>
      </c>
      <c r="T11" s="225">
        <f>IF($B$78=0,0,(SUMIF($N$6:$N$30,$U11,M$6:M$30)+SUMIF($N$88:$N$110,$U11,M$88:M$110))*$I$80*Poor!$B$78/$B$78)</f>
        <v>0</v>
      </c>
      <c r="U11" s="226">
        <v>5</v>
      </c>
      <c r="V11" s="56"/>
      <c r="W11" s="114"/>
      <c r="X11" s="117">
        <f>Poor!X11</f>
        <v>1</v>
      </c>
      <c r="Y11" s="183">
        <f t="shared" si="9"/>
        <v>0</v>
      </c>
      <c r="Z11" s="124">
        <f>IF($Y11=0,0,AA11/$Y11)</f>
        <v>0</v>
      </c>
      <c r="AA11" s="120">
        <f>IF($X11=1,IF(SUM(AA$6,AA$12:AA$31)&lt;1,IF((1-SUM(AA$6,AA$12:AA$31))*$M11/SUM($M$7*IF($X$7=1,1,0),$M$8*IF($X$8=1,1,0),$M$9*IF($X$9=1,1,0),$M$10*IF($X$10=1,1,0),$M$11*IF($X$11=1,1,0))&lt;Y11,(1-SUM(AA$6,AA$12:AA$31))*$M11/SUM($M$7*IF($X$7=1,1,0),$M$8*IF($X$8=1,1,0),$M$9*IF($X$9=1,1,0),$M$10*IF($X$10=1,1,0),$M$11*IF($X$11=1,1,0)),Y11),0),0)</f>
        <v>0</v>
      </c>
      <c r="AB11" s="124">
        <f>IF($Y11=0,0,AC11/$Y11)</f>
        <v>0</v>
      </c>
      <c r="AC11" s="120">
        <f>IF($X11&lt;3,IF(SUM(AC$6,AC$12:AC$31)&lt;1,IF(SUM(AC$6,AC$12:AC$31)+SUM((Y$7-AA$7)*IF($X$7&lt;3,1,0),(Y$8-AA$8)*IF($X$8&lt;3,1,0),(Y$9-AA$9)*IF($X$9&lt;3,1,0),(Y$10-AA$10)*IF($X$10&lt;3,1,0),(Y$11-AA$11)*IF($X$11&lt;3,1,0))&lt;1,Y11-AA11,IF((1-SUM(AC$6,AC$12:AC$31))*$M11/SUM($M$7*IF($X$7&lt;3,1,0),$M$8*IF($X$8&lt;3,1,0),$M$9*IF($X$9&lt;3,1,0),$M$10*IF($X$10&lt;3,1,0),$M$11*IF($X$11&lt;3,1,0))&lt;Y11-AA11,(1-SUM(AC$6,AC$12:AC$31))*$M11/SUM($M$7*IF($X$7&lt;3,1,0),$M$8*IF($X$8&lt;3,1,0),$M$9*IF($X$9&lt;3,1,0),$M$10*IF($X$10&lt;3,1,0),$M$11*IF($X$11&lt;3,1,0)),Y11-AA11)),0),0)</f>
        <v>0</v>
      </c>
      <c r="AD11" s="124">
        <f>IF($Y11=0,0,AE11/$Y11)</f>
        <v>0</v>
      </c>
      <c r="AE11" s="120">
        <f>IF($X11&lt;4,IF(SUM(AE$6:AE$6,AE$12:AE$31)&lt;1,IF(SUM(AE$6:AE$6,AE$12:AE$31)+SUM((Y$7-AA$7-AC$7)*IF($X$7&lt;3,1,0),(Y$8-AA$8-AC$8)*IF($X$8&lt;3,1,0),(Y$9-AA$9-AC$9)*IF($X$9&lt;3,1,0),(Y$10-AA$10-AC$10)*IF($X$10&lt;3,1,0),(Y$11-AA$11-AC$11)*IF($X$11&lt;3,1,0))&lt;1,Y11-AA11-AC11,IF((1-SUM(AE$6:AE$6,AE$12:AE$31))*$M11/SUM($M$7*IF($X$7&lt;4,1,0),$M$8*IF($X$8&lt;4,1,0),$M$9*IF($X$9&lt;4,1,0),$M$10*IF($X$10&lt;4,1,0),$M$11*IF($X$11&lt;4,1,0))&lt;Y11-AA11-AC11,(1-SUM(AE$6:AE$6,AE$12:AE$31))*$M11/SUM($M$7*IF($X$7&lt;4,1,0),$M$8*IF($X$8&lt;4,1,0),$M$9*IF($X$9&lt;4,1,0),$M$10*IF($X$10&lt;4,1,0),$M$11*IF($X$11&lt;4,1,0)),Y11-AA11-AC11)),0),0)</f>
        <v>0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3">
        <f t="shared" si="13"/>
        <v>0</v>
      </c>
      <c r="AJ11" s="119">
        <f t="shared" si="14"/>
        <v>0</v>
      </c>
      <c r="AK11" s="118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7">
        <f t="shared" si="6"/>
        <v>1.6619458281444583E-3</v>
      </c>
      <c r="N12" s="232">
        <v>1</v>
      </c>
      <c r="O12" s="2"/>
      <c r="P12" s="22"/>
      <c r="Q12" s="125" t="s">
        <v>124</v>
      </c>
      <c r="R12" s="225">
        <f>IF($B$78=0,0,(SUMIF($N$6:$N$30,$U12,K$6:K$30)+SUMIF($N$88:$N$110,$U12,K$88:K$110))*$I$80*Poor!$B$78/$B$78)</f>
        <v>1390.2461967551797</v>
      </c>
      <c r="S12" s="225">
        <f>IF($B$78=0,0,(SUMIF($N$6:$N$30,$U12,L$6:L$30)+SUMIF($N$88:$N$110,$U12,L$88:L$110))*$I$80*Poor!$B$78/$B$78)</f>
        <v>999.63695740414391</v>
      </c>
      <c r="T12" s="225">
        <f>IF($B$78=0,0,(SUMIF($N$6:$N$30,$U12,M$6:M$30)+SUMIF($N$88:$N$110,$U12,M$88:M$110))*$I$80*Poor!$B$78/$B$78)</f>
        <v>1003.0627649686053</v>
      </c>
      <c r="U12" s="226">
        <v>6</v>
      </c>
      <c r="V12" s="56"/>
      <c r="W12" s="116"/>
      <c r="X12" s="117">
        <v>1</v>
      </c>
      <c r="Y12" s="183">
        <f t="shared" si="9"/>
        <v>6.6477833125778334E-3</v>
      </c>
      <c r="Z12" s="155">
        <f>Poor!Z12</f>
        <v>0</v>
      </c>
      <c r="AA12" s="120">
        <f>$M12*Z12*4</f>
        <v>0</v>
      </c>
      <c r="AB12" s="155">
        <f>Poor!AB12</f>
        <v>0</v>
      </c>
      <c r="AC12" s="120">
        <f>$M12*AB12*4</f>
        <v>0</v>
      </c>
      <c r="AD12" s="155">
        <f>Poor!AD12</f>
        <v>0.67</v>
      </c>
      <c r="AE12" s="120">
        <f>$M12*AD12*4</f>
        <v>4.4540148194271486E-3</v>
      </c>
      <c r="AF12" s="121">
        <f>1-SUM(Z12,AB12,AD12)</f>
        <v>0.32999999999999996</v>
      </c>
      <c r="AG12" s="120">
        <f>$M12*AF12*4</f>
        <v>2.1937684931506848E-3</v>
      </c>
      <c r="AH12" s="122">
        <f t="shared" si="12"/>
        <v>1</v>
      </c>
      <c r="AI12" s="183">
        <f t="shared" si="13"/>
        <v>1.6619458281444583E-3</v>
      </c>
      <c r="AJ12" s="119">
        <f t="shared" si="14"/>
        <v>0</v>
      </c>
      <c r="AK12" s="118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8">
        <f t="shared" si="6"/>
        <v>4.4188206724782072E-3</v>
      </c>
      <c r="N13" s="232">
        <v>1</v>
      </c>
      <c r="O13" s="2"/>
      <c r="P13" s="22"/>
      <c r="Q13" s="59" t="s">
        <v>76</v>
      </c>
      <c r="R13" s="225">
        <f>IF($B$78=0,0,(SUMIF($N$6:$N$30,$U13,K$6:K$30)+SUMIF($N$88:$N$110,$U13,K$88:K$110))*$I$80*Poor!$B$78/$B$78)</f>
        <v>8019.2154696132602</v>
      </c>
      <c r="S13" s="225">
        <f>IF($B$78=0,0,(SUMIF($N$6:$N$30,$U13,L$6:L$30)+SUMIF($N$88:$N$110,$U13,L$88:L$110))*$I$80*Poor!$B$78/$B$78)</f>
        <v>7655.6422085635368</v>
      </c>
      <c r="T13" s="225">
        <f>IF($B$78=0,0,(SUMIF($N$6:$N$30,$U13,M$6:M$30)+SUMIF($N$88:$N$110,$U13,M$88:M$110))*$I$80*Poor!$B$78/$B$78)</f>
        <v>7655.6422085635368</v>
      </c>
      <c r="U13" s="226">
        <v>7</v>
      </c>
      <c r="V13" s="56"/>
      <c r="W13" s="109"/>
      <c r="X13" s="117">
        <v>1</v>
      </c>
      <c r="Y13" s="183">
        <f t="shared" si="9"/>
        <v>1.7675282689912829E-2</v>
      </c>
      <c r="Z13" s="155">
        <f>Poor!Z13</f>
        <v>1</v>
      </c>
      <c r="AA13" s="120">
        <f>$M13*Z13*4</f>
        <v>1.7675282689912829E-2</v>
      </c>
      <c r="AB13" s="155">
        <f>Poor!AB13</f>
        <v>0</v>
      </c>
      <c r="AC13" s="120">
        <f>$M13*AB13*4</f>
        <v>0</v>
      </c>
      <c r="AD13" s="155">
        <f>Poor!AD13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3">
        <f t="shared" si="13"/>
        <v>4.4188206724782072E-3</v>
      </c>
      <c r="AJ13" s="119">
        <f t="shared" si="14"/>
        <v>8.8376413449564144E-3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 t="shared" si="3"/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8">
        <f t="shared" si="6"/>
        <v>1.1168041718555417E-2</v>
      </c>
      <c r="N14" s="232">
        <v>1</v>
      </c>
      <c r="O14" s="2"/>
      <c r="P14" s="22"/>
      <c r="Q14" s="125" t="s">
        <v>77</v>
      </c>
      <c r="R14" s="225">
        <f>IF($B$78=0,0,(SUMIF($N$6:$N$30,$U14,K$6:K$30)+SUMIF($N$88:$N$110,$U14,K$88:K$110))*$I$80*Poor!$B$78/$B$78)</f>
        <v>0</v>
      </c>
      <c r="S14" s="225">
        <f>IF($B$78=0,0,(SUMIF($N$6:$N$30,$U14,L$6:L$30)+SUMIF($N$88:$N$110,$U14,L$88:L$110))*$I$80*Poor!$B$78/$B$78)</f>
        <v>0</v>
      </c>
      <c r="T14" s="225">
        <f>IF($B$78=0,0,(SUMIF($N$6:$N$30,$U14,M$6:M$30)+SUMIF($N$88:$N$110,$U14,M$88:M$110))*$I$80*Poor!$B$78/$B$78)</f>
        <v>0</v>
      </c>
      <c r="U14" s="226">
        <v>8</v>
      </c>
      <c r="V14" s="56"/>
      <c r="W14" s="109"/>
      <c r="X14" s="117">
        <v>1</v>
      </c>
      <c r="Y14" s="183">
        <f>M14*4</f>
        <v>4.4672166874221667E-2</v>
      </c>
      <c r="Z14" s="155">
        <f>Poor!Z14</f>
        <v>0</v>
      </c>
      <c r="AA14" s="120">
        <f t="shared" ref="AA14:AA31" si="16">$M14*Z14*4</f>
        <v>0</v>
      </c>
      <c r="AB14" s="155">
        <f>Poor!AB14</f>
        <v>1</v>
      </c>
      <c r="AC14" s="120">
        <f t="shared" si="7"/>
        <v>4.4672166874221667E-2</v>
      </c>
      <c r="AD14" s="155">
        <f>Poor!AD14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3">
        <f>SUM(AA14,AC14,AE14,AG14)/4</f>
        <v>1.1168041718555417E-2</v>
      </c>
      <c r="AJ14" s="119">
        <f t="shared" si="14"/>
        <v>2.2336083437110833E-2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3.7126400996264014E-3</v>
      </c>
      <c r="C15" s="215">
        <f>IF([1]Summ!D1053="",0,[1]Summ!D1053)</f>
        <v>4.6408001245330018E-2</v>
      </c>
      <c r="D15" s="24">
        <f t="shared" si="0"/>
        <v>5.0120641344956418E-2</v>
      </c>
      <c r="E15" s="75">
        <f>Poor!E15</f>
        <v>1</v>
      </c>
      <c r="F15" s="22"/>
      <c r="H15" s="24">
        <f t="shared" si="1"/>
        <v>1</v>
      </c>
      <c r="I15" s="22">
        <f t="shared" si="2"/>
        <v>5.0120641344956418E-2</v>
      </c>
      <c r="J15" s="24">
        <f t="shared" si="3"/>
        <v>3.2081388577462813E-3</v>
      </c>
      <c r="K15" s="22">
        <f t="shared" si="4"/>
        <v>3.7126400996264014E-3</v>
      </c>
      <c r="L15" s="22">
        <f t="shared" si="5"/>
        <v>3.7126400996264014E-3</v>
      </c>
      <c r="M15" s="229">
        <f t="shared" si="6"/>
        <v>3.2081388577462813E-3</v>
      </c>
      <c r="N15" s="232">
        <v>1</v>
      </c>
      <c r="O15" s="2"/>
      <c r="P15" s="22"/>
      <c r="Q15" s="59" t="s">
        <v>128</v>
      </c>
      <c r="R15" s="225">
        <f>IF($B$78=0,0,(SUMIF($N$6:$N$30,$U15,K$6:K$30)+SUMIF($N$88:$N$110,$U15,K$88:K$110))*$I$80*Poor!$B$78/$B$78)</f>
        <v>0</v>
      </c>
      <c r="S15" s="225">
        <f>IF($B$78=0,0,(SUMIF($N$6:$N$30,$U15,L$6:L$30)+SUMIF($N$88:$N$110,$U15,L$88:L$110))*$I$80*Poor!$B$78/$B$78)</f>
        <v>0</v>
      </c>
      <c r="T15" s="225">
        <f>IF($B$78=0,0,(SUMIF($N$6:$N$30,$U15,M$6:M$30)+SUMIF($N$88:$N$110,$U15,M$88:M$110))*$I$80*Poor!$B$78/$B$78)</f>
        <v>0</v>
      </c>
      <c r="U15" s="226">
        <v>9</v>
      </c>
      <c r="V15" s="56"/>
      <c r="W15" s="109"/>
      <c r="X15" s="117">
        <v>1</v>
      </c>
      <c r="Y15" s="183">
        <f t="shared" si="9"/>
        <v>1.2832555430985125E-2</v>
      </c>
      <c r="Z15" s="155">
        <f>Poor!Z15</f>
        <v>0.25</v>
      </c>
      <c r="AA15" s="120">
        <f t="shared" si="16"/>
        <v>3.2081388577462813E-3</v>
      </c>
      <c r="AB15" s="155">
        <f>Poor!AB15</f>
        <v>0.25</v>
      </c>
      <c r="AC15" s="120">
        <f t="shared" si="7"/>
        <v>3.2081388577462813E-3</v>
      </c>
      <c r="AD15" s="155">
        <f>Poor!AD15</f>
        <v>0.25</v>
      </c>
      <c r="AE15" s="120">
        <f t="shared" si="8"/>
        <v>3.2081388577462813E-3</v>
      </c>
      <c r="AF15" s="121">
        <f t="shared" si="10"/>
        <v>0.25</v>
      </c>
      <c r="AG15" s="120">
        <f t="shared" si="11"/>
        <v>3.2081388577462813E-3</v>
      </c>
      <c r="AH15" s="122">
        <f t="shared" si="12"/>
        <v>1</v>
      </c>
      <c r="AI15" s="183">
        <f t="shared" si="13"/>
        <v>3.2081388577462813E-3</v>
      </c>
      <c r="AJ15" s="119">
        <f t="shared" si="14"/>
        <v>3.2081388577462813E-3</v>
      </c>
      <c r="AK15" s="118">
        <f t="shared" si="15"/>
        <v>3.2081388577462813E-3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si="0"/>
        <v>5.1825186799501861E-3</v>
      </c>
      <c r="E16" s="75">
        <f>Poor!E16</f>
        <v>1</v>
      </c>
      <c r="F16" s="22"/>
      <c r="H16" s="24">
        <f t="shared" si="1"/>
        <v>1</v>
      </c>
      <c r="I16" s="22">
        <f t="shared" si="2"/>
        <v>5.1825186799501861E-3</v>
      </c>
      <c r="J16" s="24">
        <f t="shared" si="3"/>
        <v>-5.6339144973732167E-5</v>
      </c>
      <c r="K16" s="22">
        <f t="shared" si="4"/>
        <v>0</v>
      </c>
      <c r="L16" s="22">
        <f t="shared" si="5"/>
        <v>0</v>
      </c>
      <c r="M16" s="227">
        <f t="shared" si="6"/>
        <v>-5.6339144973732167E-5</v>
      </c>
      <c r="N16" s="232">
        <v>1</v>
      </c>
      <c r="O16" s="2"/>
      <c r="P16" s="22"/>
      <c r="Q16" s="125" t="s">
        <v>78</v>
      </c>
      <c r="R16" s="225">
        <f>IF($B$78=0,0,(SUMIF($N$6:$N$30,$U16,K$6:K$30)+SUMIF($N$88:$N$110,$U16,K$88:K$110))*$I$80*Poor!$B$78/$B$78)</f>
        <v>5145.0000000000009</v>
      </c>
      <c r="S16" s="225">
        <f>IF($B$78=0,0,(SUMIF($N$6:$N$30,$U16,L$6:L$30)+SUMIF($N$88:$N$110,$U16,L$88:L$110))*$I$80*Poor!$B$78/$B$78)</f>
        <v>5053.1250000000009</v>
      </c>
      <c r="T16" s="225">
        <f>IF($B$78=0,0,(SUMIF($N$6:$N$30,$U16,M$6:M$30)+SUMIF($N$88:$N$110,$U16,M$88:M$110))*$I$80*Poor!$B$78/$B$78)</f>
        <v>5042.1384986663243</v>
      </c>
      <c r="U16" s="226">
        <v>10</v>
      </c>
      <c r="V16" s="56"/>
      <c r="W16" s="109"/>
      <c r="X16" s="117">
        <v>1</v>
      </c>
      <c r="Y16" s="183">
        <f t="shared" si="9"/>
        <v>-2.2535657989492867E-4</v>
      </c>
      <c r="Z16" s="155">
        <f>Poor!Z16</f>
        <v>0</v>
      </c>
      <c r="AA16" s="120">
        <f t="shared" si="16"/>
        <v>0</v>
      </c>
      <c r="AB16" s="155">
        <f>Poor!AB16</f>
        <v>0</v>
      </c>
      <c r="AC16" s="120">
        <f t="shared" si="7"/>
        <v>0</v>
      </c>
      <c r="AD16" s="155">
        <f>Poor!AD16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-2.2535657989492867E-4</v>
      </c>
      <c r="AH16" s="122">
        <f t="shared" si="12"/>
        <v>1</v>
      </c>
      <c r="AI16" s="183">
        <f t="shared" si="13"/>
        <v>-5.6339144973732167E-5</v>
      </c>
      <c r="AJ16" s="119">
        <f t="shared" si="14"/>
        <v>0</v>
      </c>
      <c r="AK16" s="118">
        <f t="shared" si="15"/>
        <v>-1.1267828994746433E-4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0"/>
        <v>4.693337484433375E-3</v>
      </c>
      <c r="E17" s="75">
        <f>Poor!E17</f>
        <v>1</v>
      </c>
      <c r="F17" s="22"/>
      <c r="H17" s="24">
        <f t="shared" si="1"/>
        <v>1</v>
      </c>
      <c r="I17" s="22">
        <f t="shared" si="2"/>
        <v>4.693337484433375E-3</v>
      </c>
      <c r="J17" s="24">
        <f t="shared" si="3"/>
        <v>4.693337484433375E-3</v>
      </c>
      <c r="K17" s="22">
        <f t="shared" si="4"/>
        <v>4.693337484433375E-3</v>
      </c>
      <c r="L17" s="22">
        <f t="shared" si="5"/>
        <v>4.693337484433375E-3</v>
      </c>
      <c r="M17" s="228">
        <f t="shared" si="6"/>
        <v>4.693337484433375E-3</v>
      </c>
      <c r="N17" s="232">
        <v>1</v>
      </c>
      <c r="O17" s="2"/>
      <c r="P17" s="22"/>
      <c r="Q17" s="125" t="s">
        <v>125</v>
      </c>
      <c r="R17" s="225">
        <f>IF($B$78=0,0,(SUMIF($N$6:$N$30,$U17,K$6:K$30)+SUMIF($N$88:$N$110,$U17,K$88:K$110))*$I$80*Poor!$B$78/$B$78)</f>
        <v>0</v>
      </c>
      <c r="S17" s="225">
        <f>IF($B$78=0,0,(SUMIF($N$6:$N$30,$U17,L$6:L$30)+SUMIF($N$88:$N$110,$U17,L$88:L$110))*$I$80*Poor!$B$78/$B$78)</f>
        <v>0</v>
      </c>
      <c r="T17" s="225">
        <f>IF($B$78=0,0,(SUMIF($N$6:$N$30,$U17,M$6:M$30)+SUMIF($N$88:$N$110,$U17,M$88:M$110))*$I$80*Poor!$B$78/$B$78)</f>
        <v>0</v>
      </c>
      <c r="U17" s="226">
        <v>11</v>
      </c>
      <c r="V17" s="56"/>
      <c r="W17" s="109"/>
      <c r="X17" s="117">
        <v>1</v>
      </c>
      <c r="Y17" s="183">
        <f t="shared" si="9"/>
        <v>1.87733499377335E-2</v>
      </c>
      <c r="Z17" s="155">
        <f>Poor!Z17</f>
        <v>0.29409999999999997</v>
      </c>
      <c r="AA17" s="120">
        <f t="shared" si="16"/>
        <v>5.5212422166874215E-3</v>
      </c>
      <c r="AB17" s="155">
        <f>Poor!AB17</f>
        <v>0.17649999999999999</v>
      </c>
      <c r="AC17" s="120">
        <f t="shared" si="7"/>
        <v>3.3134962640099627E-3</v>
      </c>
      <c r="AD17" s="155">
        <f>Poor!AD17</f>
        <v>0.23530000000000001</v>
      </c>
      <c r="AE17" s="120">
        <f t="shared" si="8"/>
        <v>4.4173692403486932E-3</v>
      </c>
      <c r="AF17" s="121">
        <f t="shared" si="10"/>
        <v>0.29410000000000003</v>
      </c>
      <c r="AG17" s="120">
        <f t="shared" si="11"/>
        <v>5.5212422166874232E-3</v>
      </c>
      <c r="AH17" s="122">
        <f t="shared" si="12"/>
        <v>1</v>
      </c>
      <c r="AI17" s="183">
        <f t="shared" si="13"/>
        <v>4.693337484433375E-3</v>
      </c>
      <c r="AJ17" s="119">
        <f t="shared" si="14"/>
        <v>4.4173692403486923E-3</v>
      </c>
      <c r="AK17" s="118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1.8407145080946451E-2</v>
      </c>
      <c r="D18" s="24">
        <f t="shared" si="0"/>
        <v>0.03</v>
      </c>
      <c r="E18" s="75">
        <f>Poor!E18</f>
        <v>0.8</v>
      </c>
      <c r="F18" s="22"/>
      <c r="H18" s="24">
        <f t="shared" si="1"/>
        <v>0.8</v>
      </c>
      <c r="I18" s="22">
        <f t="shared" si="2"/>
        <v>2.4E-2</v>
      </c>
      <c r="J18" s="24">
        <f t="shared" si="3"/>
        <v>9.1142007202176818E-3</v>
      </c>
      <c r="K18" s="22">
        <f t="shared" si="4"/>
        <v>1.159285491905355E-2</v>
      </c>
      <c r="L18" s="22">
        <f t="shared" si="5"/>
        <v>9.274283935242841E-3</v>
      </c>
      <c r="M18" s="227">
        <f t="shared" si="6"/>
        <v>9.1142007202176818E-3</v>
      </c>
      <c r="N18" s="232">
        <v>6</v>
      </c>
      <c r="O18" s="2"/>
      <c r="P18" s="22"/>
      <c r="Q18" s="59" t="s">
        <v>79</v>
      </c>
      <c r="R18" s="225">
        <f>IF($B$78=0,0,(SUMIF($N$6:$N$30,$U18,K$6:K$30)+SUMIF($N$88:$N$110,$U18,K$88:K$110))*$I$80*Poor!$B$78/$B$78)</f>
        <v>85.763535911602219</v>
      </c>
      <c r="S18" s="225">
        <f>IF($B$78=0,0,(SUMIF($N$6:$N$30,$U18,L$6:L$30)+SUMIF($N$88:$N$110,$U18,L$88:L$110))*$I$80*Poor!$B$78/$B$78)</f>
        <v>85.763535911602219</v>
      </c>
      <c r="T18" s="225">
        <f>IF($B$78=0,0,(SUMIF($N$6:$N$30,$U18,M$6:M$30)+SUMIF($N$88:$N$110,$U18,M$88:M$110))*$I$80*Poor!$B$78/$B$78)</f>
        <v>86.695871052404868</v>
      </c>
      <c r="U18" s="226">
        <v>12</v>
      </c>
      <c r="V18" s="56"/>
      <c r="W18" s="109"/>
      <c r="X18" s="117"/>
      <c r="Y18" s="183">
        <f t="shared" si="9"/>
        <v>3.6456802880870727E-2</v>
      </c>
      <c r="Z18" s="155">
        <f>Poor!Z18</f>
        <v>0.25</v>
      </c>
      <c r="AA18" s="120">
        <f t="shared" si="16"/>
        <v>9.1142007202176818E-3</v>
      </c>
      <c r="AB18" s="155">
        <f>Poor!AB18</f>
        <v>0.25</v>
      </c>
      <c r="AC18" s="120">
        <f t="shared" si="7"/>
        <v>9.1142007202176818E-3</v>
      </c>
      <c r="AD18" s="155">
        <f>Poor!AD18</f>
        <v>0.25</v>
      </c>
      <c r="AE18" s="120">
        <f t="shared" si="8"/>
        <v>9.1142007202176818E-3</v>
      </c>
      <c r="AF18" s="121">
        <f t="shared" si="10"/>
        <v>0.25</v>
      </c>
      <c r="AG18" s="120">
        <f t="shared" si="11"/>
        <v>9.1142007202176818E-3</v>
      </c>
      <c r="AH18" s="122">
        <f t="shared" si="12"/>
        <v>1</v>
      </c>
      <c r="AI18" s="183">
        <f t="shared" si="13"/>
        <v>9.1142007202176818E-3</v>
      </c>
      <c r="AJ18" s="119">
        <f t="shared" si="14"/>
        <v>9.1142007202176818E-3</v>
      </c>
      <c r="AK18" s="118">
        <f t="shared" si="15"/>
        <v>9.1142007202176818E-3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ref="D19:D28" si="17">(B19+C19)</f>
        <v>0.1537788698630137</v>
      </c>
      <c r="E19" s="75">
        <f>Poor!E19</f>
        <v>0.87</v>
      </c>
      <c r="F19" s="22"/>
      <c r="H19" s="24">
        <f t="shared" ref="H19:H28" si="18">(E19*F$7/F$9)</f>
        <v>0.87</v>
      </c>
      <c r="I19" s="22">
        <f t="shared" ref="I19:I28" si="19">(D19*H19)</f>
        <v>0.13378761678082191</v>
      </c>
      <c r="J19" s="24">
        <f t="shared" si="3"/>
        <v>0.13378761678082191</v>
      </c>
      <c r="K19" s="22">
        <f t="shared" ref="K19:K28" si="20">B19</f>
        <v>0.1537788698630137</v>
      </c>
      <c r="L19" s="22">
        <f t="shared" ref="L19:L28" si="21">IF(K19="","",K19*H19)</f>
        <v>0.13378761678082191</v>
      </c>
      <c r="M19" s="227">
        <f t="shared" ref="M19:M28" si="22">J19</f>
        <v>0.13378761678082191</v>
      </c>
      <c r="N19" s="232">
        <v>7</v>
      </c>
      <c r="O19" s="2"/>
      <c r="P19" s="22"/>
      <c r="Q19" s="59" t="s">
        <v>80</v>
      </c>
      <c r="R19" s="225">
        <f>IF($B$78=0,0,(SUMIF($N$6:$N$30,$U19,K$6:K$30)+SUMIF($N$88:$N$110,$U19,K$88:K$110))*$I$80*Poor!$B$78/$B$78)</f>
        <v>39.199441338128203</v>
      </c>
      <c r="S19" s="225">
        <f>IF($B$78=0,0,(SUMIF($N$6:$N$30,$U19,L$6:L$30)+SUMIF($N$88:$N$110,$U19,L$88:L$110))*$I$80*Poor!$B$78/$B$78)</f>
        <v>39.199441338128203</v>
      </c>
      <c r="T19" s="225">
        <f>IF($B$78=0,0,(SUMIF($N$6:$N$30,$U19,M$6:M$30)+SUMIF($N$88:$N$110,$U19,M$88:M$110))*$I$80*Poor!$B$78/$B$78)</f>
        <v>39.199441338128203</v>
      </c>
      <c r="U19" s="226">
        <v>13</v>
      </c>
      <c r="V19" s="56"/>
      <c r="W19" s="109"/>
      <c r="X19" s="117"/>
      <c r="Y19" s="183">
        <f t="shared" ref="Y19:Y28" si="23">M19*4</f>
        <v>0.53515046712328762</v>
      </c>
      <c r="Z19" s="155">
        <f>Poor!Z19</f>
        <v>0.25</v>
      </c>
      <c r="AA19" s="120">
        <f t="shared" ref="AA19:AA28" si="24">$M19*Z19*4</f>
        <v>0.13378761678082191</v>
      </c>
      <c r="AB19" s="155">
        <f>Poor!AB19</f>
        <v>0.25</v>
      </c>
      <c r="AC19" s="120">
        <f t="shared" ref="AC19:AC28" si="25">$M19*AB19*4</f>
        <v>0.13378761678082191</v>
      </c>
      <c r="AD19" s="155">
        <f>Poor!AD19</f>
        <v>0.25</v>
      </c>
      <c r="AE19" s="120">
        <f t="shared" ref="AE19:AE28" si="26">$M19*AD19*4</f>
        <v>0.13378761678082191</v>
      </c>
      <c r="AF19" s="121">
        <f t="shared" ref="AF19:AF28" si="27">1-SUM(Z19,AB19,AD19)</f>
        <v>0.25</v>
      </c>
      <c r="AG19" s="120">
        <f t="shared" ref="AG19:AG28" si="28">$M19*AF19*4</f>
        <v>0.13378761678082191</v>
      </c>
      <c r="AH19" s="122">
        <f t="shared" ref="AH19:AH28" si="29">SUM(Z19,AB19,AD19,AF19)</f>
        <v>1</v>
      </c>
      <c r="AI19" s="183">
        <f t="shared" ref="AI19:AI28" si="30">SUM(AA19,AC19,AE19,AG19)/4</f>
        <v>0.13378761678082191</v>
      </c>
      <c r="AJ19" s="119">
        <f t="shared" ref="AJ19:AJ28" si="31">(AA19+AC19)/2</f>
        <v>0.13378761678082191</v>
      </c>
      <c r="AK19" s="118">
        <f t="shared" ref="AK19:AK28" si="32">(AE19+AG19)/2</f>
        <v>0.13378761678082191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Labour: Harvesting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7"/>
        <v>0</v>
      </c>
      <c r="E20" s="75">
        <f>Poor!E20</f>
        <v>0.87</v>
      </c>
      <c r="F20" s="22"/>
      <c r="H20" s="24">
        <f t="shared" si="18"/>
        <v>0.87</v>
      </c>
      <c r="I20" s="22">
        <f t="shared" si="19"/>
        <v>0</v>
      </c>
      <c r="J20" s="24">
        <f t="shared" si="3"/>
        <v>0</v>
      </c>
      <c r="K20" s="22">
        <f t="shared" si="20"/>
        <v>0</v>
      </c>
      <c r="L20" s="22">
        <f t="shared" si="21"/>
        <v>0</v>
      </c>
      <c r="M20" s="227">
        <f t="shared" si="22"/>
        <v>0</v>
      </c>
      <c r="N20" s="232">
        <v>7</v>
      </c>
      <c r="O20" s="2"/>
      <c r="P20" s="22"/>
      <c r="Q20" s="59" t="s">
        <v>81</v>
      </c>
      <c r="R20" s="225">
        <f>IF($B$78=0,0,(SUMIF($N$6:$N$30,$U20,K$6:K$30)+SUMIF($N$88:$N$110,$U20,K$88:K$110))*$I$80*Poor!$B$78/$B$78)</f>
        <v>21051.290909090912</v>
      </c>
      <c r="S20" s="225">
        <f>IF($B$78=0,0,(SUMIF($N$6:$N$30,$U20,L$6:L$30)+SUMIF($N$88:$N$110,$U20,L$88:L$110))*$I$80*Poor!$B$78/$B$78)</f>
        <v>20863.332954545462</v>
      </c>
      <c r="T20" s="225">
        <f>IF($B$78=0,0,(SUMIF($N$6:$N$30,$U20,M$6:M$30)+SUMIF($N$88:$N$110,$U20,M$88:M$110))*$I$80*Poor!$B$78/$B$78)</f>
        <v>20863.332954545462</v>
      </c>
      <c r="U20" s="226">
        <v>14</v>
      </c>
      <c r="V20" s="56"/>
      <c r="W20" s="109"/>
      <c r="X20" s="117"/>
      <c r="Y20" s="183">
        <f t="shared" si="23"/>
        <v>0</v>
      </c>
      <c r="Z20" s="155">
        <f>Poor!Z20</f>
        <v>1.25</v>
      </c>
      <c r="AA20" s="120">
        <f t="shared" si="24"/>
        <v>0</v>
      </c>
      <c r="AB20" s="155">
        <f>Poor!AB20</f>
        <v>1.25</v>
      </c>
      <c r="AC20" s="120">
        <f t="shared" si="25"/>
        <v>0</v>
      </c>
      <c r="AD20" s="155">
        <f>Poor!AD20</f>
        <v>1.25</v>
      </c>
      <c r="AE20" s="120">
        <f t="shared" si="26"/>
        <v>0</v>
      </c>
      <c r="AF20" s="121">
        <f t="shared" si="27"/>
        <v>-2.75</v>
      </c>
      <c r="AG20" s="120">
        <f t="shared" si="28"/>
        <v>0</v>
      </c>
      <c r="AH20" s="122">
        <f t="shared" si="29"/>
        <v>1</v>
      </c>
      <c r="AI20" s="183">
        <f t="shared" si="30"/>
        <v>0</v>
      </c>
      <c r="AJ20" s="119">
        <f t="shared" si="31"/>
        <v>0</v>
      </c>
      <c r="AK20" s="118">
        <f t="shared" si="32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Gifts/remittances: cereal</v>
      </c>
      <c r="B21" s="215">
        <f>IF([1]Summ!C1059="",0,[1]Summ!C1059)</f>
        <v>5.8981942714819427E-3</v>
      </c>
      <c r="C21" s="215">
        <f>IF([1]Summ!D1059="",0,[1]Summ!D1059)</f>
        <v>0</v>
      </c>
      <c r="D21" s="24">
        <f t="shared" si="17"/>
        <v>5.8981942714819427E-3</v>
      </c>
      <c r="E21" s="75">
        <f>Poor!E21</f>
        <v>1</v>
      </c>
      <c r="F21" s="22"/>
      <c r="H21" s="24">
        <f t="shared" si="18"/>
        <v>1</v>
      </c>
      <c r="I21" s="22">
        <f t="shared" si="19"/>
        <v>5.8981942714819427E-3</v>
      </c>
      <c r="J21" s="24">
        <f t="shared" si="3"/>
        <v>5.8981942714819427E-3</v>
      </c>
      <c r="K21" s="22">
        <f t="shared" si="20"/>
        <v>5.8981942714819427E-3</v>
      </c>
      <c r="L21" s="22">
        <f t="shared" si="21"/>
        <v>5.8981942714819427E-3</v>
      </c>
      <c r="M21" s="227">
        <f t="shared" si="22"/>
        <v>5.8981942714819427E-3</v>
      </c>
      <c r="N21" s="232">
        <v>13</v>
      </c>
      <c r="O21" s="2"/>
      <c r="P21" s="22"/>
      <c r="Q21" s="59" t="s">
        <v>82</v>
      </c>
      <c r="R21" s="225">
        <f>IF($B$78=0,0,(SUMIF($N$6:$N$30,$U21,K$6:K$30)+SUMIF($N$88:$N$110,$U21,K$88:K$110))*$I$80*Poor!$B$78/$B$78)</f>
        <v>0</v>
      </c>
      <c r="S21" s="225">
        <f>IF($B$78=0,0,(SUMIF($N$6:$N$30,$U21,L$6:L$30)+SUMIF($N$88:$N$110,$U21,L$88:L$110))*$I$80*Poor!$B$78/$B$78)</f>
        <v>0</v>
      </c>
      <c r="T21" s="225">
        <f>IF($B$78=0,0,(SUMIF($N$6:$N$30,$U21,M$6:M$30)+SUMIF($N$88:$N$110,$U21,M$88:M$110))*$I$80*Poor!$B$78/$B$78)</f>
        <v>0</v>
      </c>
      <c r="U21" s="226">
        <v>15</v>
      </c>
      <c r="V21" s="56"/>
      <c r="W21" s="109"/>
      <c r="X21" s="117"/>
      <c r="Y21" s="183">
        <f t="shared" si="23"/>
        <v>2.3592777085927771E-2</v>
      </c>
      <c r="Z21" s="155">
        <f>Poor!Z21</f>
        <v>2.25</v>
      </c>
      <c r="AA21" s="120">
        <f t="shared" si="24"/>
        <v>5.3083748443337485E-2</v>
      </c>
      <c r="AB21" s="155">
        <f>Poor!AB21</f>
        <v>2.25</v>
      </c>
      <c r="AC21" s="120">
        <f t="shared" si="25"/>
        <v>5.3083748443337485E-2</v>
      </c>
      <c r="AD21" s="155">
        <f>Poor!AD21</f>
        <v>2.25</v>
      </c>
      <c r="AE21" s="120">
        <f t="shared" si="26"/>
        <v>5.3083748443337485E-2</v>
      </c>
      <c r="AF21" s="121">
        <f t="shared" si="27"/>
        <v>-5.75</v>
      </c>
      <c r="AG21" s="120">
        <f t="shared" si="28"/>
        <v>-0.13565846824408467</v>
      </c>
      <c r="AH21" s="122">
        <f t="shared" si="29"/>
        <v>1</v>
      </c>
      <c r="AI21" s="183">
        <f t="shared" si="30"/>
        <v>5.8981942714819435E-3</v>
      </c>
      <c r="AJ21" s="119">
        <f t="shared" si="31"/>
        <v>5.3083748443337485E-2</v>
      </c>
      <c r="AK21" s="118">
        <f t="shared" si="32"/>
        <v>-4.1287359900373591E-2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7"/>
        <v>0</v>
      </c>
      <c r="E22" s="75">
        <f>Poor!E22</f>
        <v>1</v>
      </c>
      <c r="F22" s="22"/>
      <c r="H22" s="24">
        <f t="shared" si="18"/>
        <v>1</v>
      </c>
      <c r="I22" s="22">
        <f t="shared" si="19"/>
        <v>0</v>
      </c>
      <c r="J22" s="24">
        <f t="shared" si="3"/>
        <v>0</v>
      </c>
      <c r="K22" s="22">
        <f t="shared" si="20"/>
        <v>0</v>
      </c>
      <c r="L22" s="22">
        <f t="shared" si="21"/>
        <v>0</v>
      </c>
      <c r="M22" s="227">
        <f t="shared" si="22"/>
        <v>0</v>
      </c>
      <c r="N22" s="232"/>
      <c r="O22" s="2"/>
      <c r="P22" s="22"/>
      <c r="Q22" s="59" t="s">
        <v>83</v>
      </c>
      <c r="R22" s="225">
        <f>IF($B$78=0,0,(SUMIF($N$6:$N$30,$U22,K$6:K$30)+SUMIF($N$88:$N$110,$U22,K$88:K$110))*$I$80*Poor!$B$78/$B$78)</f>
        <v>0</v>
      </c>
      <c r="S22" s="225">
        <f>IF($B$78=0,0,(SUMIF($N$6:$N$30,$U22,L$6:L$30)+SUMIF($N$88:$N$110,$U22,L$88:L$110))*$I$80*Poor!$B$78/$B$78)</f>
        <v>0</v>
      </c>
      <c r="T22" s="225">
        <f>IF($B$78=0,0,(SUMIF($N$6:$N$30,$U22,M$6:M$30)+SUMIF($N$88:$N$110,$U22,M$88:M$110))*$I$80*Poor!$B$78/$B$78)</f>
        <v>0</v>
      </c>
      <c r="U22" s="226">
        <v>16</v>
      </c>
      <c r="V22" s="56"/>
      <c r="W22" s="109"/>
      <c r="X22" s="117"/>
      <c r="Y22" s="183">
        <f t="shared" si="23"/>
        <v>0</v>
      </c>
      <c r="Z22" s="155">
        <f>Poor!Z22</f>
        <v>3.25</v>
      </c>
      <c r="AA22" s="120">
        <f t="shared" si="24"/>
        <v>0</v>
      </c>
      <c r="AB22" s="155">
        <f>Poor!AB22</f>
        <v>3.25</v>
      </c>
      <c r="AC22" s="120">
        <f t="shared" si="25"/>
        <v>0</v>
      </c>
      <c r="AD22" s="155">
        <f>Poor!AD22</f>
        <v>3.25</v>
      </c>
      <c r="AE22" s="120">
        <f t="shared" si="26"/>
        <v>0</v>
      </c>
      <c r="AF22" s="121">
        <f t="shared" si="27"/>
        <v>-8.75</v>
      </c>
      <c r="AG22" s="120">
        <f t="shared" si="28"/>
        <v>0</v>
      </c>
      <c r="AH22" s="122">
        <f t="shared" si="29"/>
        <v>1</v>
      </c>
      <c r="AI22" s="183">
        <f t="shared" si="30"/>
        <v>0</v>
      </c>
      <c r="AJ22" s="119">
        <f t="shared" si="31"/>
        <v>0</v>
      </c>
      <c r="AK22" s="118">
        <f t="shared" si="32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7"/>
        <v>0</v>
      </c>
      <c r="E23" s="75">
        <f>Poor!E23</f>
        <v>1</v>
      </c>
      <c r="F23" s="22"/>
      <c r="H23" s="24">
        <f t="shared" si="18"/>
        <v>1</v>
      </c>
      <c r="I23" s="22">
        <f t="shared" si="19"/>
        <v>0</v>
      </c>
      <c r="J23" s="24">
        <f t="shared" si="3"/>
        <v>0</v>
      </c>
      <c r="K23" s="22">
        <f t="shared" si="20"/>
        <v>0</v>
      </c>
      <c r="L23" s="22">
        <f t="shared" si="21"/>
        <v>0</v>
      </c>
      <c r="M23" s="227">
        <f t="shared" si="22"/>
        <v>0</v>
      </c>
      <c r="N23" s="232"/>
      <c r="O23" s="2"/>
      <c r="P23" s="22"/>
      <c r="Q23" s="170" t="s">
        <v>100</v>
      </c>
      <c r="R23" s="178">
        <f>SUM(R7:R22)</f>
        <v>38183.500654221672</v>
      </c>
      <c r="S23" s="178">
        <f>SUM(S7:S22)</f>
        <v>37029.995199275465</v>
      </c>
      <c r="T23" s="178">
        <f>SUM(T7:T22)</f>
        <v>37030.464286675859</v>
      </c>
      <c r="U23" s="56"/>
      <c r="V23" s="56"/>
      <c r="W23" s="109"/>
      <c r="X23" s="117"/>
      <c r="Y23" s="183">
        <f t="shared" si="23"/>
        <v>0</v>
      </c>
      <c r="Z23" s="155">
        <f>Poor!Z23</f>
        <v>4.25</v>
      </c>
      <c r="AA23" s="120">
        <f t="shared" si="24"/>
        <v>0</v>
      </c>
      <c r="AB23" s="155">
        <f>Poor!AB23</f>
        <v>4.25</v>
      </c>
      <c r="AC23" s="120">
        <f t="shared" si="25"/>
        <v>0</v>
      </c>
      <c r="AD23" s="155">
        <f>Poor!AD23</f>
        <v>4.25</v>
      </c>
      <c r="AE23" s="120">
        <f t="shared" si="26"/>
        <v>0</v>
      </c>
      <c r="AF23" s="121">
        <f t="shared" si="27"/>
        <v>-11.75</v>
      </c>
      <c r="AG23" s="120">
        <f t="shared" si="28"/>
        <v>0</v>
      </c>
      <c r="AH23" s="122">
        <f t="shared" si="29"/>
        <v>1</v>
      </c>
      <c r="AI23" s="183">
        <f t="shared" si="30"/>
        <v>0</v>
      </c>
      <c r="AJ23" s="119">
        <f t="shared" si="31"/>
        <v>0</v>
      </c>
      <c r="AK23" s="118">
        <f t="shared" si="32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7"/>
        <v>0</v>
      </c>
      <c r="E24" s="75">
        <f>Poor!E24</f>
        <v>1</v>
      </c>
      <c r="F24" s="22"/>
      <c r="H24" s="24">
        <f t="shared" si="18"/>
        <v>1</v>
      </c>
      <c r="I24" s="22">
        <f t="shared" si="19"/>
        <v>0</v>
      </c>
      <c r="J24" s="24">
        <f t="shared" si="3"/>
        <v>0</v>
      </c>
      <c r="K24" s="22">
        <f t="shared" si="20"/>
        <v>0</v>
      </c>
      <c r="L24" s="22">
        <f t="shared" si="21"/>
        <v>0</v>
      </c>
      <c r="M24" s="227">
        <f t="shared" si="22"/>
        <v>0</v>
      </c>
      <c r="N24" s="232"/>
      <c r="O24" s="2"/>
      <c r="P24" s="22"/>
      <c r="Q24" s="59" t="s">
        <v>136</v>
      </c>
      <c r="R24" s="41">
        <f>IF($B$78=0,0,($B$116*$H$116)+1-($D$31*$H$31)-($D$30*$H$30))*$I$80*Poor!$B$78/$B$78</f>
        <v>29946.919494373287</v>
      </c>
      <c r="S24" s="41">
        <f>IF($B$78=0,0,($B$116*($H$116)+1-($D$31*$H$31)-($D$30*$H$30))*$I$80*Poor!$B$78/$B$78)</f>
        <v>29946.919494373287</v>
      </c>
      <c r="T24" s="41">
        <f>IF($B$78=0,0,($B$116*($H$116)+1-($D$31*$H$31)-($D$30*$H$30))*$I$80*Poor!$B$78/$B$78)</f>
        <v>29946.919494373287</v>
      </c>
      <c r="U24" s="56"/>
      <c r="V24" s="56"/>
      <c r="W24" s="109"/>
      <c r="X24" s="117"/>
      <c r="Y24" s="183">
        <f t="shared" si="23"/>
        <v>0</v>
      </c>
      <c r="Z24" s="155">
        <f>Poor!Z24</f>
        <v>5.25</v>
      </c>
      <c r="AA24" s="120">
        <f t="shared" si="24"/>
        <v>0</v>
      </c>
      <c r="AB24" s="155">
        <f>Poor!AB24</f>
        <v>5.25</v>
      </c>
      <c r="AC24" s="120">
        <f t="shared" si="25"/>
        <v>0</v>
      </c>
      <c r="AD24" s="155">
        <f>Poor!AD24</f>
        <v>5.25</v>
      </c>
      <c r="AE24" s="120">
        <f t="shared" si="26"/>
        <v>0</v>
      </c>
      <c r="AF24" s="121">
        <f t="shared" si="27"/>
        <v>-14.75</v>
      </c>
      <c r="AG24" s="120">
        <f t="shared" si="28"/>
        <v>0</v>
      </c>
      <c r="AH24" s="122">
        <f t="shared" si="29"/>
        <v>1</v>
      </c>
      <c r="AI24" s="183">
        <f t="shared" si="30"/>
        <v>0</v>
      </c>
      <c r="AJ24" s="119">
        <f t="shared" si="31"/>
        <v>0</v>
      </c>
      <c r="AK24" s="118">
        <f t="shared" si="32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7"/>
        <v>0</v>
      </c>
      <c r="E25" s="75">
        <f>Poor!E25</f>
        <v>1</v>
      </c>
      <c r="F25" s="22"/>
      <c r="H25" s="24">
        <f t="shared" si="18"/>
        <v>1</v>
      </c>
      <c r="I25" s="22">
        <f t="shared" si="19"/>
        <v>0</v>
      </c>
      <c r="J25" s="24">
        <f t="shared" si="3"/>
        <v>0</v>
      </c>
      <c r="K25" s="22">
        <f t="shared" si="20"/>
        <v>0</v>
      </c>
      <c r="L25" s="22">
        <f t="shared" si="21"/>
        <v>0</v>
      </c>
      <c r="M25" s="227">
        <f t="shared" si="22"/>
        <v>0</v>
      </c>
      <c r="N25" s="232"/>
      <c r="O25" s="2"/>
      <c r="P25" s="22"/>
      <c r="Q25" s="141" t="s">
        <v>137</v>
      </c>
      <c r="R25" s="41">
        <f>IF($B$78=0,0,($B$67+$B$68+((1-$D$31)*$B$80))*$H$81*Poor!$B$78/$B$78)</f>
        <v>47026.260538266135</v>
      </c>
      <c r="S25" s="41">
        <f>IF($B$78=0,0,(($B$67*$H$67)+($B$68*$H$68)+((1-($D$31*$H$31))*$I$80))*Poor!$B$78/$B$78)</f>
        <v>46631.699494373301</v>
      </c>
      <c r="T25" s="41">
        <f>IF($B$78=0,0,(($B$67*$H$67)+($B$68*$H$68)+((1-($D$31*$H$31))*$I$80))*Poor!$B$78/$B$78)</f>
        <v>46631.699494373301</v>
      </c>
      <c r="U25" s="56"/>
      <c r="V25" s="56"/>
      <c r="W25" s="109"/>
      <c r="X25" s="117"/>
      <c r="Y25" s="183">
        <f t="shared" si="23"/>
        <v>0</v>
      </c>
      <c r="Z25" s="155">
        <f>Poor!Z25</f>
        <v>6.25</v>
      </c>
      <c r="AA25" s="120">
        <f t="shared" si="24"/>
        <v>0</v>
      </c>
      <c r="AB25" s="155">
        <f>Poor!AB25</f>
        <v>6.25</v>
      </c>
      <c r="AC25" s="120">
        <f t="shared" si="25"/>
        <v>0</v>
      </c>
      <c r="AD25" s="155">
        <f>Poor!AD25</f>
        <v>6.25</v>
      </c>
      <c r="AE25" s="120">
        <f t="shared" si="26"/>
        <v>0</v>
      </c>
      <c r="AF25" s="121">
        <f t="shared" si="27"/>
        <v>-17.75</v>
      </c>
      <c r="AG25" s="120">
        <f t="shared" si="28"/>
        <v>0</v>
      </c>
      <c r="AH25" s="122">
        <f t="shared" si="29"/>
        <v>1</v>
      </c>
      <c r="AI25" s="183">
        <f t="shared" si="30"/>
        <v>0</v>
      </c>
      <c r="AJ25" s="119">
        <f t="shared" si="31"/>
        <v>0</v>
      </c>
      <c r="AK25" s="118">
        <f t="shared" si="32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/>
      </c>
      <c r="B26" s="215">
        <f>IF([1]Summ!C1064="",0,[1]Summ!C1064)</f>
        <v>0</v>
      </c>
      <c r="C26" s="215">
        <f>IF([1]Summ!D1064="",0,[1]Summ!D1064)</f>
        <v>0</v>
      </c>
      <c r="D26" s="24">
        <f t="shared" si="17"/>
        <v>0</v>
      </c>
      <c r="E26" s="75">
        <f>Poor!E26</f>
        <v>1</v>
      </c>
      <c r="F26" s="22"/>
      <c r="H26" s="24">
        <f t="shared" si="18"/>
        <v>1</v>
      </c>
      <c r="I26" s="22">
        <f t="shared" si="19"/>
        <v>0</v>
      </c>
      <c r="J26" s="24">
        <f t="shared" si="3"/>
        <v>0</v>
      </c>
      <c r="K26" s="22">
        <f t="shared" si="20"/>
        <v>0</v>
      </c>
      <c r="L26" s="22">
        <f t="shared" si="21"/>
        <v>0</v>
      </c>
      <c r="M26" s="227">
        <f t="shared" si="22"/>
        <v>0</v>
      </c>
      <c r="N26" s="232"/>
      <c r="O26" s="2"/>
      <c r="P26" s="22"/>
      <c r="Q26" s="59" t="s">
        <v>138</v>
      </c>
      <c r="R26" s="41">
        <f>IF($B$78=0,0,($B$67+$B$68+$B$69+((1-$D$31)*$B$80))*$H$81*Poor!$B$78/$B$78)</f>
        <v>74609.847036350737</v>
      </c>
      <c r="S26" s="41">
        <f>IF($B$78=0,0,(($B$67*$H$67)+($B$68*$H$68)+($B$69*$H$69)+((1-($D$31*$H$31))*$I$80))*Poor!$B$78/$B$78)</f>
        <v>73578.059494373301</v>
      </c>
      <c r="T26" s="41">
        <f>IF($B$78=0,0,(($B$67*$H$67)+($B$68*$H$68)+($B$69*$H$69)+((1-($D$31*$H$31))*$I$80))*Poor!$B$78/$B$78)</f>
        <v>73578.059494373301</v>
      </c>
      <c r="U26" s="56"/>
      <c r="V26" s="56"/>
      <c r="W26" s="109"/>
      <c r="X26" s="117"/>
      <c r="Y26" s="183">
        <f t="shared" si="23"/>
        <v>0</v>
      </c>
      <c r="Z26" s="155">
        <f>Poor!Z26</f>
        <v>7.25</v>
      </c>
      <c r="AA26" s="120">
        <f t="shared" si="24"/>
        <v>0</v>
      </c>
      <c r="AB26" s="155">
        <f>Poor!AB26</f>
        <v>7.25</v>
      </c>
      <c r="AC26" s="120">
        <f t="shared" si="25"/>
        <v>0</v>
      </c>
      <c r="AD26" s="155">
        <f>Poor!AD26</f>
        <v>7.25</v>
      </c>
      <c r="AE26" s="120">
        <f t="shared" si="26"/>
        <v>0</v>
      </c>
      <c r="AF26" s="121">
        <f t="shared" si="27"/>
        <v>-20.75</v>
      </c>
      <c r="AG26" s="120">
        <f t="shared" si="28"/>
        <v>0</v>
      </c>
      <c r="AH26" s="122">
        <f t="shared" si="29"/>
        <v>1</v>
      </c>
      <c r="AI26" s="183">
        <f t="shared" si="30"/>
        <v>0</v>
      </c>
      <c r="AJ26" s="119">
        <f t="shared" si="31"/>
        <v>0</v>
      </c>
      <c r="AK26" s="118">
        <f t="shared" si="32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/>
      </c>
      <c r="B27" s="215">
        <f>IF([1]Summ!C1065="",0,[1]Summ!C1065)</f>
        <v>0</v>
      </c>
      <c r="C27" s="215">
        <f>IF([1]Summ!D1065="",0,[1]Summ!D1065)</f>
        <v>0</v>
      </c>
      <c r="D27" s="24">
        <f t="shared" si="17"/>
        <v>0</v>
      </c>
      <c r="E27" s="75">
        <f>Poor!E27</f>
        <v>1</v>
      </c>
      <c r="F27" s="22"/>
      <c r="H27" s="24">
        <f t="shared" si="18"/>
        <v>1</v>
      </c>
      <c r="I27" s="22">
        <f t="shared" si="19"/>
        <v>0</v>
      </c>
      <c r="J27" s="24">
        <f t="shared" si="3"/>
        <v>0</v>
      </c>
      <c r="K27" s="22">
        <f t="shared" si="20"/>
        <v>0</v>
      </c>
      <c r="L27" s="22">
        <f t="shared" si="21"/>
        <v>0</v>
      </c>
      <c r="M27" s="227">
        <f t="shared" si="22"/>
        <v>0</v>
      </c>
      <c r="N27" s="232"/>
      <c r="O27" s="2"/>
      <c r="P27" s="22"/>
      <c r="Q27" s="125" t="s">
        <v>139</v>
      </c>
      <c r="R27" s="41">
        <f>IF($B$78=0,0,($B$67+$B$68+$B$69+$B$70+(1-$D$31-$D$30)*$B$80)*$H$81*Poor!$B$78/$B$78)</f>
        <v>75892.388363575679</v>
      </c>
      <c r="S27" s="41">
        <f>IF($B$78=0,0,(($B$67*$H$67)+($B$68*$H$68)+($B$69*$H$69)+($B$70*$H$70)+((1-($D$30*$H$30)-($D$31*$H$31))*$I$80))*Poor!$B$78/$B$78)</f>
        <v>74830.971994373307</v>
      </c>
      <c r="T27" s="41">
        <f>IF($B$78=0,0,(($B$67*$H$67)+($B$68*$H$68)+($B$69*$H$69)+($B$70*$H$70)+((1-($D$30*$H$30)-($D$31*$H$31))*$I$80))*Poor!$B$78/$B$78)</f>
        <v>74830.971994373307</v>
      </c>
      <c r="U27" s="56"/>
      <c r="V27" s="56"/>
      <c r="W27" s="109"/>
      <c r="X27" s="117"/>
      <c r="Y27" s="183">
        <f t="shared" si="23"/>
        <v>0</v>
      </c>
      <c r="Z27" s="155">
        <f>Poor!Z27</f>
        <v>8.25</v>
      </c>
      <c r="AA27" s="120">
        <f t="shared" si="24"/>
        <v>0</v>
      </c>
      <c r="AB27" s="155">
        <f>Poor!AB27</f>
        <v>8.25</v>
      </c>
      <c r="AC27" s="120">
        <f t="shared" si="25"/>
        <v>0</v>
      </c>
      <c r="AD27" s="155">
        <f>Poor!AD27</f>
        <v>8.25</v>
      </c>
      <c r="AE27" s="120">
        <f t="shared" si="26"/>
        <v>0</v>
      </c>
      <c r="AF27" s="121">
        <f t="shared" si="27"/>
        <v>-23.75</v>
      </c>
      <c r="AG27" s="120">
        <f t="shared" si="28"/>
        <v>0</v>
      </c>
      <c r="AH27" s="122">
        <f t="shared" si="29"/>
        <v>1</v>
      </c>
      <c r="AI27" s="183">
        <f t="shared" si="30"/>
        <v>0</v>
      </c>
      <c r="AJ27" s="119">
        <f t="shared" si="31"/>
        <v>0</v>
      </c>
      <c r="AK27" s="118">
        <f t="shared" si="32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Food aid</v>
      </c>
      <c r="B28" s="215">
        <f>IF([1]Summ!C1066="",0,[1]Summ!C1066)</f>
        <v>8.9285714285714288E-2</v>
      </c>
      <c r="C28" s="215">
        <f>IF([1]Summ!D1066="",0,[1]Summ!D1066)</f>
        <v>0</v>
      </c>
      <c r="D28" s="24">
        <f t="shared" si="17"/>
        <v>8.9285714285714288E-2</v>
      </c>
      <c r="E28" s="75">
        <f>Poor!E28</f>
        <v>1</v>
      </c>
      <c r="F28" s="22"/>
      <c r="H28" s="24">
        <f t="shared" si="18"/>
        <v>1</v>
      </c>
      <c r="I28" s="22">
        <f t="shared" si="19"/>
        <v>8.9285714285714288E-2</v>
      </c>
      <c r="J28" s="24">
        <f t="shared" si="3"/>
        <v>8.9285714285714288E-2</v>
      </c>
      <c r="K28" s="22">
        <f t="shared" si="20"/>
        <v>8.9285714285714288E-2</v>
      </c>
      <c r="L28" s="22">
        <f t="shared" si="21"/>
        <v>8.9285714285714288E-2</v>
      </c>
      <c r="M28" s="227">
        <f t="shared" si="22"/>
        <v>8.9285714285714288E-2</v>
      </c>
      <c r="N28" s="232"/>
      <c r="O28" s="2"/>
      <c r="P28" s="22"/>
      <c r="Q28" s="59"/>
      <c r="R28" s="179"/>
      <c r="S28" s="179"/>
      <c r="T28" s="179"/>
      <c r="U28" s="56"/>
      <c r="V28" s="56"/>
      <c r="W28" s="109"/>
      <c r="X28" s="117"/>
      <c r="Y28" s="183">
        <f t="shared" si="23"/>
        <v>0.35714285714285715</v>
      </c>
      <c r="Z28" s="155">
        <f>Poor!Z28</f>
        <v>9.25</v>
      </c>
      <c r="AA28" s="120">
        <f t="shared" si="24"/>
        <v>3.3035714285714288</v>
      </c>
      <c r="AB28" s="155">
        <f>Poor!AB28</f>
        <v>9.25</v>
      </c>
      <c r="AC28" s="120">
        <f t="shared" si="25"/>
        <v>3.3035714285714288</v>
      </c>
      <c r="AD28" s="155">
        <f>Poor!AD28</f>
        <v>9.25</v>
      </c>
      <c r="AE28" s="120">
        <f t="shared" si="26"/>
        <v>3.3035714285714288</v>
      </c>
      <c r="AF28" s="121">
        <f t="shared" si="27"/>
        <v>-26.75</v>
      </c>
      <c r="AG28" s="120">
        <f t="shared" si="28"/>
        <v>-9.5535714285714288</v>
      </c>
      <c r="AH28" s="122">
        <f t="shared" si="29"/>
        <v>1</v>
      </c>
      <c r="AI28" s="183">
        <f t="shared" si="30"/>
        <v>8.9285714285714413E-2</v>
      </c>
      <c r="AJ28" s="119">
        <f t="shared" si="31"/>
        <v>3.3035714285714288</v>
      </c>
      <c r="AK28" s="118">
        <f t="shared" si="32"/>
        <v>-3.125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other</v>
      </c>
      <c r="B29" s="215">
        <f>IF([1]Summ!C1067="",0,[1]Summ!C1067)</f>
        <v>2.5214781444582817E-2</v>
      </c>
      <c r="C29" s="215">
        <f>IF([1]Summ!D1067="",0,[1]Summ!D1067)</f>
        <v>-2.5214781444582817E-2</v>
      </c>
      <c r="D29" s="24">
        <f t="shared" si="0"/>
        <v>0</v>
      </c>
      <c r="E29" s="75">
        <f>Poor!E19</f>
        <v>0.87</v>
      </c>
      <c r="F29" s="22"/>
      <c r="H29" s="24">
        <f t="shared" si="1"/>
        <v>0.87</v>
      </c>
      <c r="I29" s="22">
        <f t="shared" si="2"/>
        <v>0</v>
      </c>
      <c r="J29" s="24">
        <f>IF(I$34&lt;=1+I123,I29,B29*H29+J$35*(I29-B29*H29))</f>
        <v>2.217533539427452E-2</v>
      </c>
      <c r="K29" s="22">
        <f t="shared" si="4"/>
        <v>2.5214781444582817E-2</v>
      </c>
      <c r="L29" s="22">
        <f t="shared" si="5"/>
        <v>2.1936859856787051E-2</v>
      </c>
      <c r="M29" s="229">
        <f t="shared" si="6"/>
        <v>2.217533539427452E-2</v>
      </c>
      <c r="N29" s="232"/>
      <c r="O29" s="2"/>
      <c r="P29" s="22"/>
      <c r="Q29" s="2"/>
      <c r="R29" s="179"/>
      <c r="S29" s="179"/>
      <c r="T29" s="179"/>
      <c r="U29" s="56"/>
      <c r="V29" s="56"/>
      <c r="W29" s="109"/>
      <c r="X29" s="117"/>
      <c r="Y29" s="183">
        <f t="shared" si="9"/>
        <v>8.8701341577098081E-2</v>
      </c>
      <c r="Z29" s="155">
        <f>Poor!Z19</f>
        <v>0.25</v>
      </c>
      <c r="AA29" s="120">
        <f t="shared" si="16"/>
        <v>2.217533539427452E-2</v>
      </c>
      <c r="AB29" s="155">
        <f>Poor!AB19</f>
        <v>0.25</v>
      </c>
      <c r="AC29" s="120">
        <f t="shared" si="7"/>
        <v>2.217533539427452E-2</v>
      </c>
      <c r="AD29" s="155">
        <f>Poor!AD19</f>
        <v>0.25</v>
      </c>
      <c r="AE29" s="120">
        <f t="shared" si="8"/>
        <v>2.217533539427452E-2</v>
      </c>
      <c r="AF29" s="121">
        <f t="shared" si="10"/>
        <v>0.25</v>
      </c>
      <c r="AG29" s="120">
        <f t="shared" si="11"/>
        <v>2.217533539427452E-2</v>
      </c>
      <c r="AH29" s="122">
        <f t="shared" si="12"/>
        <v>1</v>
      </c>
      <c r="AI29" s="183">
        <f t="shared" si="13"/>
        <v>2.217533539427452E-2</v>
      </c>
      <c r="AJ29" s="119">
        <f t="shared" si="14"/>
        <v>2.217533539427452E-2</v>
      </c>
      <c r="AK29" s="118">
        <f t="shared" si="15"/>
        <v>2.217533539427452E-2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>
      <c r="A30" s="74" t="str">
        <f>IF(Poor!A30=0,"",Poor!A30)</f>
        <v>Purchase - desirable</v>
      </c>
      <c r="B30" s="215">
        <f>IF([1]Summ!C1068="",0,[1]Summ!C1068)</f>
        <v>1.2904520547945206E-2</v>
      </c>
      <c r="C30" s="215">
        <f>IF([1]Summ!D1068="",0,[1]Summ!D1068)</f>
        <v>-1.2904520547945206E-2</v>
      </c>
      <c r="D30" s="24">
        <f t="shared" si="0"/>
        <v>0</v>
      </c>
      <c r="E30" s="75">
        <f>Poor!E30</f>
        <v>1</v>
      </c>
      <c r="F30" s="22"/>
      <c r="H30" s="24">
        <f t="shared" si="1"/>
        <v>1</v>
      </c>
      <c r="I30" s="22">
        <f t="shared" si="2"/>
        <v>0</v>
      </c>
      <c r="J30" s="24">
        <f>IF(I$34&lt;=1+I123,I30,B30*H30+J$35*(I30-B30*H30))</f>
        <v>1.3044805551987716E-2</v>
      </c>
      <c r="K30" s="22">
        <f t="shared" si="4"/>
        <v>1.2904520547945206E-2</v>
      </c>
      <c r="L30" s="22">
        <f t="shared" si="5"/>
        <v>1.2904520547945206E-2</v>
      </c>
      <c r="M30" s="227">
        <f t="shared" si="6"/>
        <v>1.3044805551987716E-2</v>
      </c>
      <c r="N30" s="232">
        <v>12</v>
      </c>
      <c r="O30" s="2"/>
      <c r="P30" s="22"/>
      <c r="Q30" s="59"/>
      <c r="R30" s="179"/>
      <c r="S30" s="179"/>
      <c r="T30" s="179"/>
      <c r="U30" s="56"/>
      <c r="V30" s="56"/>
      <c r="W30" s="109"/>
      <c r="X30" s="117"/>
      <c r="Y30" s="183">
        <f t="shared" si="9"/>
        <v>5.2179222207950862E-2</v>
      </c>
      <c r="Z30" s="155">
        <f>Poor!Z30</f>
        <v>0</v>
      </c>
      <c r="AA30" s="120">
        <f t="shared" si="16"/>
        <v>0</v>
      </c>
      <c r="AB30" s="155">
        <f>Poor!AB30</f>
        <v>0</v>
      </c>
      <c r="AC30" s="120">
        <f t="shared" si="7"/>
        <v>0</v>
      </c>
      <c r="AD30" s="155">
        <f>Poor!AD30</f>
        <v>0.5</v>
      </c>
      <c r="AE30" s="120">
        <f t="shared" si="8"/>
        <v>2.6089611103975431E-2</v>
      </c>
      <c r="AF30" s="121">
        <f t="shared" si="10"/>
        <v>0.5</v>
      </c>
      <c r="AG30" s="120">
        <f t="shared" si="11"/>
        <v>2.6089611103975431E-2</v>
      </c>
      <c r="AH30" s="122">
        <f t="shared" si="12"/>
        <v>1</v>
      </c>
      <c r="AI30" s="183">
        <f t="shared" si="13"/>
        <v>1.3044805551987716E-2</v>
      </c>
      <c r="AJ30" s="119">
        <f t="shared" si="14"/>
        <v>0</v>
      </c>
      <c r="AK30" s="118">
        <f t="shared" si="15"/>
        <v>2.6089611103975431E-2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>
      <c r="A31" s="74" t="str">
        <f>IF(Poor!A31=0,"",Poor!A31)</f>
        <v>Purchase - fpl non staple</v>
      </c>
      <c r="B31" s="215">
        <f>IF([1]Summ!C1069="",0,[1]Summ!C1069)</f>
        <v>7.5201346513075959E-2</v>
      </c>
      <c r="C31" s="215">
        <f>IF([1]Summ!D1069="",0,[1]Summ!D1069)</f>
        <v>0.30443000101787115</v>
      </c>
      <c r="D31" s="24">
        <f>(B31+C31)</f>
        <v>0.37963134753094713</v>
      </c>
      <c r="E31" s="75">
        <f>Poor!E31</f>
        <v>1.01</v>
      </c>
      <c r="F31" s="22"/>
      <c r="H31" s="24">
        <f t="shared" si="1"/>
        <v>1.01</v>
      </c>
      <c r="I31" s="22">
        <f t="shared" si="2"/>
        <v>0.38342766100625658</v>
      </c>
      <c r="J31" s="24">
        <f>IF(I$34&lt;=1+I123,I31,B31*H31+J$35*(I31-B31*H31))</f>
        <v>7.2610807777028205E-2</v>
      </c>
      <c r="K31" s="22">
        <f t="shared" si="4"/>
        <v>7.5201346513075959E-2</v>
      </c>
      <c r="L31" s="22">
        <f t="shared" si="5"/>
        <v>7.5953359978206722E-2</v>
      </c>
      <c r="M31" s="227">
        <f t="shared" si="6"/>
        <v>7.2610807777028205E-2</v>
      </c>
      <c r="N31" s="232"/>
      <c r="P31" s="22"/>
      <c r="Q31" s="59"/>
      <c r="R31" s="179"/>
      <c r="S31" s="179"/>
      <c r="T31" s="179"/>
      <c r="U31" s="56"/>
      <c r="V31" s="56"/>
      <c r="W31" s="109"/>
      <c r="X31" s="117"/>
      <c r="Y31" s="183">
        <f t="shared" si="9"/>
        <v>0.29044323110811282</v>
      </c>
      <c r="Z31" s="155">
        <f>Poor!Z31</f>
        <v>0.25</v>
      </c>
      <c r="AA31" s="120">
        <f t="shared" si="16"/>
        <v>7.2610807777028205E-2</v>
      </c>
      <c r="AB31" s="155">
        <f>Poor!AB31</f>
        <v>0.25</v>
      </c>
      <c r="AC31" s="120">
        <f t="shared" si="7"/>
        <v>7.2610807777028205E-2</v>
      </c>
      <c r="AD31" s="155">
        <f>Poor!AD31</f>
        <v>0.25</v>
      </c>
      <c r="AE31" s="120">
        <f t="shared" si="8"/>
        <v>7.2610807777028205E-2</v>
      </c>
      <c r="AF31" s="121">
        <f t="shared" si="10"/>
        <v>0.25</v>
      </c>
      <c r="AG31" s="120">
        <f t="shared" si="11"/>
        <v>7.2610807777028205E-2</v>
      </c>
      <c r="AH31" s="122">
        <f t="shared" si="12"/>
        <v>1</v>
      </c>
      <c r="AI31" s="183">
        <f t="shared" si="13"/>
        <v>7.2610807777028205E-2</v>
      </c>
      <c r="AJ31" s="119">
        <f t="shared" si="14"/>
        <v>7.2610807777028205E-2</v>
      </c>
      <c r="AK31" s="118">
        <f t="shared" si="15"/>
        <v>7.2610807777028205E-2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 thickBot="1">
      <c r="A32" s="74" t="str">
        <f>IF(Poor!A32=0,"",Poor!A32)</f>
        <v>Purchase - staple</v>
      </c>
      <c r="B32" s="215">
        <f>IF([1]Summ!C1070="",0,[1]Summ!C1070)</f>
        <v>0.56623471980074724</v>
      </c>
      <c r="C32" s="102"/>
      <c r="D32" s="24">
        <f>(D111-B116)</f>
        <v>1.4387300029769139</v>
      </c>
      <c r="E32" s="75">
        <f>Poor!E32</f>
        <v>1</v>
      </c>
      <c r="H32" s="97">
        <f>(E32*F$7/F$9)</f>
        <v>1</v>
      </c>
      <c r="I32" s="29">
        <f>IF(E32&gt;=1,I111-I116,MIN(I111-I116,B32*H32))</f>
        <v>1.2593119734306799</v>
      </c>
      <c r="J32" s="234">
        <f>IF(I$34&lt;=$B$34,I32,$B$34-SUM(J6:J31))</f>
        <v>0.59475516725094235</v>
      </c>
      <c r="K32" s="22">
        <f t="shared" si="4"/>
        <v>0.56623471980074724</v>
      </c>
      <c r="L32" s="22">
        <f>IF(L116=L111,0,IF(K32="",0,(L111-L116)/(B111-B116)*K32))</f>
        <v>0.48546388624993697</v>
      </c>
      <c r="M32" s="174">
        <f t="shared" si="6"/>
        <v>0.59475516725094235</v>
      </c>
      <c r="N32" s="165" t="s">
        <v>86</v>
      </c>
      <c r="O32" s="2"/>
      <c r="P32" s="22"/>
      <c r="Q32" s="56"/>
      <c r="R32" s="68"/>
      <c r="S32" s="68"/>
      <c r="T32" s="68"/>
      <c r="U32" s="56"/>
      <c r="V32" s="56"/>
      <c r="W32" s="109"/>
      <c r="X32" s="117"/>
      <c r="Y32" s="183">
        <f>M32*4</f>
        <v>2.3790206690037694</v>
      </c>
      <c r="Z32" s="121">
        <f>IF($Y32=0,0,AA32/($Y$32))</f>
        <v>-1.101607831994545</v>
      </c>
      <c r="AA32" s="187">
        <f>IF(AA76*4/$I$80+SUM(AA6:AA31)&lt;1,AA76*4/$I$80,1-SUM(AA6:AA31))</f>
        <v>-2.6207478014514547</v>
      </c>
      <c r="AB32" s="121">
        <f>IF($Y32=0,0,AC32/($Y$32))</f>
        <v>-1.1120277239083098</v>
      </c>
      <c r="AC32" s="187">
        <f>IF(AC76*4/$I$80+SUM(AC6:AC31)&lt;1,AC76*4/$I$80,1-SUM(AC6:AC31))</f>
        <v>-2.6455369396830863</v>
      </c>
      <c r="AD32" s="121">
        <f>IF($Y32=0,0,AE32/($Y$32))</f>
        <v>-1.1065529215477508</v>
      </c>
      <c r="AE32" s="187">
        <f>IF(AE76*4/$I$80+SUM(AE6:AE31)&lt;1,AE76*4/$I$80,1-SUM(AE6:AE31))</f>
        <v>-2.6325122717086056</v>
      </c>
      <c r="AF32" s="121">
        <f>IF($Y32=0,0,AG32/($Y$32))</f>
        <v>4.0825000125425772</v>
      </c>
      <c r="AG32" s="187">
        <f>IF(AG76*4/$I$80+SUM(AG6:AG31)&lt;1,AG76*4/$I$80,1-SUM(AG6:AG31))</f>
        <v>9.7123519110469392</v>
      </c>
      <c r="AH32" s="122">
        <f t="shared" si="12"/>
        <v>0.76231153509197158</v>
      </c>
      <c r="AI32" s="183">
        <f t="shared" si="13"/>
        <v>0.45338872455094803</v>
      </c>
      <c r="AJ32" s="119">
        <f t="shared" si="14"/>
        <v>-2.6331423705672705</v>
      </c>
      <c r="AK32" s="118">
        <f t="shared" si="15"/>
        <v>3.5399198196691666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F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V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  <c r="CK32" s="25"/>
    </row>
    <row r="33" spans="1:89" ht="14" customHeight="1" thickBot="1">
      <c r="A33" s="95" t="s">
        <v>57</v>
      </c>
      <c r="B33" s="215" t="str">
        <f>IF(1-$B$34&gt;0,1-$B$34,"")</f>
        <v/>
      </c>
      <c r="C33" s="77"/>
      <c r="D33" s="24"/>
      <c r="E33" s="22"/>
      <c r="F33" s="22"/>
      <c r="H33" s="24"/>
      <c r="I33" s="22"/>
      <c r="J33" s="235">
        <f>($B$34-SUM(J6:J32))</f>
        <v>0</v>
      </c>
      <c r="K33" s="22" t="str">
        <f t="shared" si="4"/>
        <v/>
      </c>
      <c r="L33" s="22">
        <f>(1-SUM(L6:L32))</f>
        <v>-3.5759876960516301E-2</v>
      </c>
      <c r="M33" s="177">
        <f t="shared" si="6"/>
        <v>0</v>
      </c>
      <c r="N33" s="166">
        <f>M33*I80</f>
        <v>0</v>
      </c>
      <c r="P33" s="22"/>
      <c r="Q33" s="59"/>
      <c r="R33" s="222"/>
      <c r="S33" s="222"/>
      <c r="T33" s="222"/>
      <c r="U33" s="56"/>
      <c r="V33" s="56"/>
      <c r="W33" s="128" t="s">
        <v>84</v>
      </c>
      <c r="X33" s="129"/>
      <c r="Y33" s="120">
        <f>M33*4</f>
        <v>0</v>
      </c>
      <c r="Z33" s="130"/>
      <c r="AA33" s="131">
        <f>1-AA34+IF($Y34&lt;0,$Y34/4,0)</f>
        <v>0</v>
      </c>
      <c r="AB33" s="130"/>
      <c r="AC33" s="132">
        <f>1-AC34+IF($Y34&lt;0,$Y34/4,0)</f>
        <v>0</v>
      </c>
      <c r="AD33" s="133"/>
      <c r="AE33" s="132">
        <f>1-AE34+IF($Y34&lt;0,$Y34/4,0)</f>
        <v>0</v>
      </c>
      <c r="AF33" s="133"/>
      <c r="AG33" s="132">
        <f>1-AG34+IF($Y34&lt;0,$Y34/4,0)</f>
        <v>0</v>
      </c>
      <c r="AH33" s="122"/>
      <c r="AI33" s="182">
        <f>SUM(AA33,AC33,AE33,AG33)/4</f>
        <v>0</v>
      </c>
      <c r="AJ33" s="134">
        <f t="shared" si="14"/>
        <v>0</v>
      </c>
      <c r="AK33" s="135">
        <f t="shared" si="15"/>
        <v>0</v>
      </c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F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V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  <c r="CK33" s="25"/>
    </row>
    <row r="34" spans="1:89" ht="14" customHeight="1">
      <c r="A34" s="22" t="s">
        <v>24</v>
      </c>
      <c r="B34" s="77">
        <f>SUM(B6:B32)</f>
        <v>1.1413664426999941</v>
      </c>
      <c r="C34" s="77">
        <f>SUM(C6:C33)</f>
        <v>0.33630836403156977</v>
      </c>
      <c r="D34" s="24">
        <f>SUM(D6:D32)</f>
        <v>2.3501700899077305</v>
      </c>
      <c r="E34" s="2"/>
      <c r="F34" s="2"/>
      <c r="H34" s="17"/>
      <c r="I34" s="22">
        <f>SUM(I6:I32)</f>
        <v>2.1485571207546141</v>
      </c>
      <c r="J34" s="17"/>
      <c r="L34" s="22">
        <f>SUM(L6:L32)</f>
        <v>1.0357598769605163</v>
      </c>
      <c r="M34" s="23"/>
      <c r="N34" s="56"/>
      <c r="O34" s="2"/>
      <c r="P34" s="22"/>
      <c r="Q34" s="59"/>
      <c r="R34" s="222"/>
      <c r="S34" s="222"/>
      <c r="T34" s="222"/>
      <c r="U34" s="56"/>
      <c r="V34" s="56"/>
      <c r="W34" s="109"/>
      <c r="X34" s="117"/>
      <c r="Y34" s="114">
        <f>SUM(Y6:Y33)</f>
        <v>4.5654657707999764</v>
      </c>
      <c r="Z34" s="136"/>
      <c r="AA34" s="137">
        <f>SUM(AA6:AA32)</f>
        <v>1</v>
      </c>
      <c r="AB34" s="136"/>
      <c r="AC34" s="138">
        <f>SUM(AC6:AC32)</f>
        <v>1</v>
      </c>
      <c r="AD34" s="136"/>
      <c r="AE34" s="138">
        <f>SUM(AE6:AE32)</f>
        <v>1</v>
      </c>
      <c r="AF34" s="136"/>
      <c r="AG34" s="138">
        <f>SUM(AG6:AG32)</f>
        <v>1</v>
      </c>
      <c r="AH34" s="126"/>
      <c r="AI34" s="109"/>
      <c r="AJ34" s="139">
        <f>SUM(AJ6:AJ33)</f>
        <v>1</v>
      </c>
      <c r="AK34" s="140">
        <f>SUM(AK6:AK33)</f>
        <v>0.99999999999999911</v>
      </c>
      <c r="AS34" s="25"/>
      <c r="AT34" s="25"/>
      <c r="AU34" s="25"/>
      <c r="AV34" s="25"/>
      <c r="AW34" s="25"/>
      <c r="AX34" s="25"/>
      <c r="AZ34" s="25"/>
      <c r="BA34" s="25"/>
      <c r="BB34" s="25"/>
      <c r="BC34" s="25"/>
      <c r="BD34" s="25"/>
      <c r="BE34" s="25"/>
      <c r="BI34" s="25"/>
      <c r="BJ34" s="25"/>
      <c r="BK34" s="25"/>
      <c r="BL34" s="25"/>
      <c r="BM34" s="25"/>
      <c r="BN34" s="25"/>
      <c r="BP34" s="25"/>
      <c r="BQ34" s="25"/>
      <c r="BR34" s="25"/>
      <c r="BS34" s="25"/>
      <c r="BT34" s="25"/>
      <c r="BU34" s="25"/>
      <c r="BX34" s="25"/>
      <c r="BY34" s="25"/>
      <c r="BZ34" s="25"/>
      <c r="CA34" s="25"/>
      <c r="CB34" s="25"/>
      <c r="CC34" s="25"/>
      <c r="CE34" s="25"/>
      <c r="CF34" s="25"/>
      <c r="CG34" s="25"/>
      <c r="CH34" s="25"/>
      <c r="CI34" s="25"/>
      <c r="CJ34" s="25"/>
    </row>
    <row r="35" spans="1:89" ht="14" customHeight="1" thickBot="1">
      <c r="A35" s="11"/>
      <c r="B35" s="11"/>
      <c r="C35" s="11"/>
      <c r="D35" s="10"/>
      <c r="E35" s="11"/>
      <c r="F35" s="11"/>
      <c r="G35" s="11"/>
      <c r="H35" s="10"/>
      <c r="I35" s="236" t="s">
        <v>25</v>
      </c>
      <c r="J35" s="237">
        <f>(1+K119*H119-L34-L119)/(I34-L34-L119)</f>
        <v>-1.0870996990651213E-2</v>
      </c>
      <c r="K35" s="14"/>
      <c r="L35" s="11"/>
      <c r="M35" s="30"/>
      <c r="N35" s="167" t="s">
        <v>87</v>
      </c>
      <c r="O35" s="2"/>
      <c r="P35" s="2"/>
      <c r="Q35" s="2"/>
      <c r="R35" s="224"/>
      <c r="S35" s="224"/>
      <c r="T35" s="224"/>
      <c r="U35" s="56"/>
      <c r="V35" s="56"/>
      <c r="W35" s="109"/>
      <c r="X35" s="117"/>
      <c r="Y35" s="109"/>
      <c r="Z35" s="142"/>
      <c r="AA35" s="143"/>
      <c r="AB35" s="142"/>
      <c r="AC35" s="143"/>
      <c r="AD35" s="142"/>
      <c r="AE35" s="143"/>
      <c r="AF35" s="142"/>
      <c r="AG35" s="143"/>
      <c r="AH35" s="109"/>
      <c r="AI35" s="109"/>
      <c r="AJ35" s="142"/>
      <c r="AK35" s="143"/>
      <c r="AS35" s="25"/>
      <c r="AT35" s="25"/>
      <c r="AU35" s="25"/>
      <c r="AV35" s="25"/>
      <c r="AW35" s="25"/>
      <c r="AX35" s="25"/>
      <c r="AZ35" s="25"/>
      <c r="BA35" s="25"/>
      <c r="BB35" s="25"/>
      <c r="BC35" s="25"/>
      <c r="BD35" s="25"/>
      <c r="BE35" s="25"/>
      <c r="BI35" s="25"/>
      <c r="BJ35" s="25"/>
      <c r="BK35" s="25"/>
      <c r="BL35" s="25"/>
      <c r="BM35" s="25"/>
      <c r="BN35" s="25"/>
      <c r="BP35" s="25"/>
      <c r="BQ35" s="25"/>
      <c r="BR35" s="25"/>
      <c r="BS35" s="25"/>
      <c r="BT35" s="25"/>
      <c r="BU35" s="25"/>
      <c r="BX35" s="25"/>
      <c r="BY35" s="25"/>
      <c r="BZ35" s="25"/>
      <c r="CA35" s="25"/>
      <c r="CB35" s="25"/>
      <c r="CC35" s="25"/>
      <c r="CE35" s="25"/>
      <c r="CF35" s="25"/>
      <c r="CG35" s="25"/>
      <c r="CH35" s="25"/>
      <c r="CI35" s="25"/>
      <c r="CJ35" s="25"/>
    </row>
    <row r="36" spans="1:89" ht="15.75" customHeight="1" thickBot="1">
      <c r="A36" s="73" t="s">
        <v>53</v>
      </c>
      <c r="B36" s="2"/>
      <c r="C36" s="2"/>
      <c r="D36" s="31"/>
      <c r="E36" s="32"/>
      <c r="F36" s="32"/>
      <c r="G36" s="32"/>
      <c r="H36" s="31"/>
      <c r="I36" s="2"/>
      <c r="J36" s="33"/>
      <c r="K36" s="34" t="s">
        <v>27</v>
      </c>
      <c r="L36" s="35"/>
      <c r="M36" s="36"/>
      <c r="N36" s="168">
        <f>-(M74*B73)</f>
        <v>0</v>
      </c>
      <c r="O36" s="2"/>
      <c r="P36" s="2"/>
      <c r="Q36" s="59"/>
      <c r="R36" s="222"/>
      <c r="S36" s="222"/>
      <c r="T36" s="222"/>
      <c r="U36" s="56"/>
      <c r="V36" s="56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9" ht="14" customHeight="1">
      <c r="A37" s="2"/>
      <c r="B37" s="19" t="s">
        <v>7</v>
      </c>
      <c r="C37" s="19" t="s">
        <v>8</v>
      </c>
      <c r="D37" s="16" t="s">
        <v>9</v>
      </c>
      <c r="E37" s="19" t="s">
        <v>10</v>
      </c>
      <c r="F37" s="2" t="s">
        <v>28</v>
      </c>
      <c r="G37" s="2" t="s">
        <v>29</v>
      </c>
      <c r="H37" s="16" t="s">
        <v>12</v>
      </c>
      <c r="I37" s="19" t="s">
        <v>13</v>
      </c>
      <c r="J37" s="16" t="s">
        <v>14</v>
      </c>
      <c r="K37" s="37" t="s">
        <v>7</v>
      </c>
      <c r="L37" s="19" t="s">
        <v>15</v>
      </c>
      <c r="M37" s="16" t="s">
        <v>14</v>
      </c>
      <c r="N37" s="2"/>
      <c r="O37" s="2"/>
      <c r="Q37" s="56" t="s">
        <v>141</v>
      </c>
      <c r="R37" s="238">
        <f>IF(R24&gt;R$23,R24-R$23,0)</f>
        <v>0</v>
      </c>
      <c r="S37" s="238">
        <f t="shared" ref="S37:T40" si="33">IF(S24&gt;S$23,S24-S$23,0)</f>
        <v>0</v>
      </c>
      <c r="T37" s="238">
        <f t="shared" si="33"/>
        <v>0</v>
      </c>
      <c r="U37" s="56"/>
      <c r="V37" s="56"/>
      <c r="W37" s="109"/>
      <c r="X37" s="117"/>
      <c r="Y37" s="109"/>
      <c r="Z37" s="144"/>
      <c r="AA37" s="145"/>
      <c r="AB37" s="144"/>
      <c r="AC37" s="145"/>
      <c r="AD37" s="144"/>
      <c r="AE37" s="145"/>
      <c r="AF37" s="144"/>
      <c r="AG37" s="145"/>
      <c r="AH37" s="109"/>
      <c r="AI37" s="109"/>
      <c r="AJ37" s="144"/>
      <c r="AK37" s="145"/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9" ht="14" customHeight="1">
      <c r="A38" s="2" t="s">
        <v>30</v>
      </c>
      <c r="B38" s="19" t="s">
        <v>16</v>
      </c>
      <c r="C38" s="19" t="s">
        <v>17</v>
      </c>
      <c r="D38" s="16" t="s">
        <v>16</v>
      </c>
      <c r="E38" s="19" t="s">
        <v>18</v>
      </c>
      <c r="F38" s="2" t="s">
        <v>31</v>
      </c>
      <c r="G38" s="2" t="s">
        <v>31</v>
      </c>
      <c r="H38" s="16" t="s">
        <v>18</v>
      </c>
      <c r="I38" s="19" t="s">
        <v>16</v>
      </c>
      <c r="J38" s="16" t="s">
        <v>16</v>
      </c>
      <c r="K38" s="37" t="s">
        <v>16</v>
      </c>
      <c r="L38" s="19" t="s">
        <v>19</v>
      </c>
      <c r="M38" s="16" t="s">
        <v>16</v>
      </c>
      <c r="N38" s="2"/>
      <c r="O38" s="2"/>
      <c r="P38" s="2"/>
      <c r="Q38" s="59" t="s">
        <v>142</v>
      </c>
      <c r="R38" s="238">
        <f>IF(R25&gt;R$23,R25-R$23,0)</f>
        <v>8842.7598840444625</v>
      </c>
      <c r="S38" s="238">
        <f t="shared" si="33"/>
        <v>9601.7042950978357</v>
      </c>
      <c r="T38" s="238">
        <f t="shared" si="33"/>
        <v>9601.2352076974421</v>
      </c>
      <c r="U38" s="56"/>
      <c r="V38" s="56"/>
      <c r="W38" s="109"/>
      <c r="X38" s="117"/>
      <c r="Y38" s="109"/>
      <c r="Z38" s="144"/>
      <c r="AA38" s="145"/>
      <c r="AB38" s="144"/>
      <c r="AC38" s="145"/>
      <c r="AD38" s="144"/>
      <c r="AE38" s="145"/>
      <c r="AF38" s="144"/>
      <c r="AG38" s="145"/>
      <c r="AH38" s="109"/>
      <c r="AI38" s="109"/>
      <c r="AJ38" s="144"/>
      <c r="AK38" s="145"/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9" ht="14" customHeight="1">
      <c r="A39" s="86" t="str">
        <f>IF(Poor!A39=0,"",Poor!A39)</f>
        <v>Pig sales: no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ref="D39:D61" si="34">B39+C39</f>
        <v>0</v>
      </c>
      <c r="E39" s="75">
        <f>Poor!E39</f>
        <v>1</v>
      </c>
      <c r="F39" s="75">
        <f>Poor!F39</f>
        <v>1.03</v>
      </c>
      <c r="G39" s="75">
        <f>Poor!G39</f>
        <v>1.1200000000000001</v>
      </c>
      <c r="H39" s="24">
        <f t="shared" ref="H39:H61" si="35">(E39*F39)</f>
        <v>1.03</v>
      </c>
      <c r="I39" s="39">
        <f t="shared" ref="I39:I61" si="36">D39*H39</f>
        <v>0</v>
      </c>
      <c r="J39" s="38">
        <f t="shared" ref="J39:J61" si="37">J88*I$80</f>
        <v>0</v>
      </c>
      <c r="K39" s="40">
        <f t="shared" ref="K39:K61" si="38">(B39/B$62)</f>
        <v>0</v>
      </c>
      <c r="L39" s="22">
        <f t="shared" ref="L39:L61" si="39">(K39*H39)</f>
        <v>0</v>
      </c>
      <c r="M39" s="24">
        <f t="shared" ref="M39:M61" si="40">J39/B$62</f>
        <v>0</v>
      </c>
      <c r="N39" s="2"/>
      <c r="O39" s="2"/>
      <c r="P39" s="2"/>
      <c r="Q39" s="56" t="s">
        <v>143</v>
      </c>
      <c r="R39" s="238">
        <f>IF(R26&gt;R$23,R26-R$23,0)</f>
        <v>36426.346382129064</v>
      </c>
      <c r="S39" s="238">
        <f t="shared" si="33"/>
        <v>36548.064295097836</v>
      </c>
      <c r="T39" s="238">
        <f t="shared" si="33"/>
        <v>36547.595207697443</v>
      </c>
      <c r="V39" s="56"/>
      <c r="W39" s="114"/>
      <c r="X39" s="117"/>
      <c r="Y39" s="109"/>
      <c r="Z39" s="121">
        <f>IF($J39=0,0,AA39/($J39))</f>
        <v>0</v>
      </c>
      <c r="AA39" s="146">
        <f>IF(SUM(AA$6:AA$31)+(SUM(AA$41:AA$61,-AA$67)/AA$80)&lt;1,IF(SUM(AA$6:AA$31)+(SUM(AA$41:AA$61,$J$39:$J$40,-AA$67)/AA$80)&lt;1,$J39,(AA$80-(SUM(AA$6:AA$31)*AA$80)-SUM(AA$41:AA$61,-AA$67))*($J39/SUM($J$39:$J$40))),0)</f>
        <v>0</v>
      </c>
      <c r="AB39" s="121">
        <f>IF($J39=0,0,AC39/($J39))</f>
        <v>0</v>
      </c>
      <c r="AC39" s="146">
        <f>IF(SUM(AC$6:AC$31)+(SUM(AC$41:AC$61,-AC$67)/AC$80)&lt;1,IF(SUM(AC$6:AC$31)+((SUM(AC$41:AC$61,$J$39:$J$40,-AC$67)-SUM($AA$39:$AA$40))/AC$80)&lt;1,$J39-$AA39,(AC$80-(SUM(AC$6:AC$31)*AC$80)-SUM(AC$41:AC$61,-AC$67))*($J39/SUM($J$39:$J$40))),0)</f>
        <v>0</v>
      </c>
      <c r="AD39" s="121">
        <f>IF($J39=0,0,AE39/($J39))</f>
        <v>0</v>
      </c>
      <c r="AE39" s="146">
        <f>IF(SUM(AE$6:AE$31)+(SUM(AE$41:AE$61,-AE$67)/AE$80)&lt;1,IF(SUM(AE$6:AE$31)+((SUM(AE$41:AE$61,$J$39:$J$40,-AE$67)-SUM($AA$39:$AA$40)-SUM($AC$39:$AC$40))/AE$80)&lt;1,$J39-$AA39-$AC39,(AE$80-(SUM(AE$6:AE$31)*AE$80)-SUM(AE$41:AE$61,-AE$67))*($J39/SUM($J$39:$J$40))),0)</f>
        <v>0</v>
      </c>
      <c r="AF39" s="121">
        <f t="shared" ref="AF39:AF61" si="41">1-SUM(Z39,AB39,AD39)</f>
        <v>1</v>
      </c>
      <c r="AG39" s="146">
        <f>$J39*AF39</f>
        <v>0</v>
      </c>
      <c r="AH39" s="122">
        <f>SUM(Z39,AB39,AD39,AF39)</f>
        <v>1</v>
      </c>
      <c r="AI39" s="111">
        <f>SUM(AA39,AC39,AE39,AG39)</f>
        <v>0</v>
      </c>
      <c r="AJ39" s="147">
        <f>(AA39+AC39)</f>
        <v>0</v>
      </c>
      <c r="AK39" s="146">
        <f>(AE39+AG39)</f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9" ht="14" customHeight="1">
      <c r="A40" s="86" t="str">
        <f>IF(Poor!A40=0,"",Poor!A40)</f>
        <v>Cattle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34"/>
        <v>0</v>
      </c>
      <c r="E40" s="75">
        <f>Poor!E40</f>
        <v>1</v>
      </c>
      <c r="F40" s="75">
        <f>Poor!F40</f>
        <v>1.1100000000000001</v>
      </c>
      <c r="G40" s="22">
        <f t="shared" ref="G40:G61" si="42">(G$39)</f>
        <v>1.1200000000000001</v>
      </c>
      <c r="H40" s="24">
        <f t="shared" si="35"/>
        <v>1.1100000000000001</v>
      </c>
      <c r="I40" s="39">
        <f t="shared" si="36"/>
        <v>0</v>
      </c>
      <c r="J40" s="38">
        <f t="shared" si="37"/>
        <v>0</v>
      </c>
      <c r="K40" s="40">
        <f t="shared" si="38"/>
        <v>0</v>
      </c>
      <c r="L40" s="22">
        <f t="shared" si="39"/>
        <v>0</v>
      </c>
      <c r="M40" s="24">
        <f t="shared" si="40"/>
        <v>0</v>
      </c>
      <c r="N40" s="2"/>
      <c r="O40" s="2"/>
      <c r="P40" s="2"/>
      <c r="Q40" s="59" t="s">
        <v>144</v>
      </c>
      <c r="R40" s="238">
        <f>IF(R27&gt;R$23,R27-R$23,0)</f>
        <v>37708.887709354007</v>
      </c>
      <c r="S40" s="238">
        <f t="shared" si="33"/>
        <v>37800.976795097842</v>
      </c>
      <c r="T40" s="238">
        <f t="shared" si="33"/>
        <v>37800.507707697448</v>
      </c>
      <c r="V40" s="56"/>
      <c r="W40" s="114"/>
      <c r="X40" s="117"/>
      <c r="Y40" s="109"/>
      <c r="Z40" s="121">
        <f>IF($J40=0,0,AA40/($J40))</f>
        <v>0</v>
      </c>
      <c r="AA40" s="146">
        <f>IF(SUM(AA$6:AA$31)+(SUM(AA$41:AA$61,-AA$67)/AA$80)&lt;1,IF(SUM(AA$6:AA$31)+(SUM(AA$41:AA$61,$J$39:$J$40,-AA$67)/AA$80)&lt;1,$J40,(AA$80-(SUM(AA$6:AA$31)*AA$80)-SUM(AA$41:AA$61,-AA$67))*($J40/SUM($J$39:$J$40))),0)</f>
        <v>0</v>
      </c>
      <c r="AB40" s="121">
        <f>IF($J40=0,0,AC40/($J40))</f>
        <v>0</v>
      </c>
      <c r="AC40" s="146">
        <f>IF(SUM(AC$6:AC$31)+(SUM(AC$41:AC$61,-AC$67)/AC$80)&lt;1,IF(SUM(AC$6:AC$31)+((SUM(AC$41:AC$61,$J$39:$J$40,-AC$67)-SUM($AA$39:$AA$40))/AC$80)&lt;1,$J40-$AA40,(AC$80-(SUM(AC$6:AC$31)*AC$80)-SUM(AC$41:AC$61,-AC$67))*($J40/SUM($J$39:$J$40))),0)</f>
        <v>0</v>
      </c>
      <c r="AD40" s="121">
        <f>IF($J40=0,0,AE40/($J40))</f>
        <v>0</v>
      </c>
      <c r="AE40" s="146">
        <f>IF(SUM(AE$6:AE$31)+(SUM(AE$41:AE$61,-AE$67)/AE$80)&lt;1,IF(SUM(AE$6:AE$31)+((SUM(AE$41:AE$61,$J$39:$J$40,-AE$67)-SUM($AA$39:$AA$40)-SUM($AC$39:$AC$40))/AE$80)&lt;1,$J40-$AA40-$AC40,(AE$80-(SUM(AE$6:AE$31)*AE$80)-SUM(AE$41:AE$61,-AE$67))*($J40/SUM($J$39:$J$40))),0)</f>
        <v>0</v>
      </c>
      <c r="AF40" s="121">
        <f t="shared" si="41"/>
        <v>1</v>
      </c>
      <c r="AG40" s="146">
        <f t="shared" ref="AG40:AG61" si="43">$J40*AF40</f>
        <v>0</v>
      </c>
      <c r="AH40" s="122">
        <f t="shared" ref="AH40:AI55" si="44">SUM(Z40,AB40,AD40,AF40)</f>
        <v>1</v>
      </c>
      <c r="AI40" s="111">
        <f t="shared" si="44"/>
        <v>0</v>
      </c>
      <c r="AJ40" s="147">
        <f t="shared" ref="AJ40:AJ61" si="45">(AA40+AC40)</f>
        <v>0</v>
      </c>
      <c r="AK40" s="146">
        <f t="shared" ref="AK40:AK61" si="46">(AE40+AG40)</f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9" ht="14" customHeight="1">
      <c r="A41" s="86" t="str">
        <f>IF(Poor!A41=0,"",Poor!A41)</f>
        <v>Goat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34"/>
        <v>0</v>
      </c>
      <c r="E41" s="75">
        <f>Poor!E41</f>
        <v>1</v>
      </c>
      <c r="F41" s="75">
        <f>Poor!F41</f>
        <v>1.0900000000000001</v>
      </c>
      <c r="G41" s="22">
        <f t="shared" si="42"/>
        <v>1.1200000000000001</v>
      </c>
      <c r="H41" s="24">
        <f t="shared" si="35"/>
        <v>1.0900000000000001</v>
      </c>
      <c r="I41" s="39">
        <f t="shared" si="36"/>
        <v>0</v>
      </c>
      <c r="J41" s="38">
        <f t="shared" si="37"/>
        <v>0</v>
      </c>
      <c r="K41" s="40">
        <f t="shared" si="38"/>
        <v>0</v>
      </c>
      <c r="L41" s="22">
        <f t="shared" si="39"/>
        <v>0</v>
      </c>
      <c r="M41" s="24">
        <f t="shared" si="40"/>
        <v>0</v>
      </c>
      <c r="N41" s="2"/>
      <c r="O41" s="2"/>
      <c r="P41" s="2"/>
      <c r="V41" s="56"/>
      <c r="W41" s="114"/>
      <c r="X41" s="117"/>
      <c r="Y41" s="109"/>
      <c r="Z41" s="121">
        <f>Z8</f>
        <v>0</v>
      </c>
      <c r="AA41" s="146">
        <f t="shared" ref="AA41:AA61" si="47">$J41*Z41</f>
        <v>0</v>
      </c>
      <c r="AB41" s="121">
        <f>AB8</f>
        <v>0</v>
      </c>
      <c r="AC41" s="146">
        <f t="shared" ref="AC41:AC61" si="48">$J41*AB41</f>
        <v>0</v>
      </c>
      <c r="AD41" s="121">
        <f>AD8</f>
        <v>0</v>
      </c>
      <c r="AE41" s="146">
        <f t="shared" ref="AE41:AE61" si="49">$J41*AD41</f>
        <v>0</v>
      </c>
      <c r="AF41" s="121">
        <f t="shared" si="41"/>
        <v>1</v>
      </c>
      <c r="AG41" s="146">
        <f t="shared" si="43"/>
        <v>0</v>
      </c>
      <c r="AH41" s="122">
        <f t="shared" si="44"/>
        <v>1</v>
      </c>
      <c r="AI41" s="111">
        <f t="shared" si="44"/>
        <v>0</v>
      </c>
      <c r="AJ41" s="147">
        <f t="shared" si="45"/>
        <v>0</v>
      </c>
      <c r="AK41" s="146">
        <f t="shared" si="4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9" ht="14" customHeight="1">
      <c r="A42" s="86" t="str">
        <f>IF(Poor!A42=0,"",Poor!A42)</f>
        <v>Maize: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34"/>
        <v>0</v>
      </c>
      <c r="E42" s="75">
        <f>Poor!E42</f>
        <v>1</v>
      </c>
      <c r="F42" s="75">
        <f>Poor!F42</f>
        <v>1.02</v>
      </c>
      <c r="G42" s="22">
        <f t="shared" si="42"/>
        <v>1.1200000000000001</v>
      </c>
      <c r="H42" s="24">
        <f t="shared" si="35"/>
        <v>1.02</v>
      </c>
      <c r="I42" s="39">
        <f t="shared" si="36"/>
        <v>0</v>
      </c>
      <c r="J42" s="38">
        <f t="shared" si="37"/>
        <v>0</v>
      </c>
      <c r="K42" s="40">
        <f t="shared" si="38"/>
        <v>0</v>
      </c>
      <c r="L42" s="22">
        <f t="shared" si="39"/>
        <v>0</v>
      </c>
      <c r="M42" s="24">
        <f t="shared" si="40"/>
        <v>0</v>
      </c>
      <c r="N42" s="2"/>
      <c r="O42" s="2"/>
      <c r="P42" s="2"/>
      <c r="V42" s="56"/>
      <c r="W42" s="114"/>
      <c r="X42" s="117">
        <f>X9</f>
        <v>4</v>
      </c>
      <c r="Y42" s="109"/>
      <c r="Z42" s="121">
        <f>Z9</f>
        <v>0</v>
      </c>
      <c r="AA42" s="146">
        <f t="shared" si="47"/>
        <v>0</v>
      </c>
      <c r="AB42" s="121">
        <f>AB9</f>
        <v>0</v>
      </c>
      <c r="AC42" s="146">
        <f t="shared" si="48"/>
        <v>0</v>
      </c>
      <c r="AD42" s="121">
        <f>AD9</f>
        <v>0</v>
      </c>
      <c r="AE42" s="146">
        <f t="shared" si="49"/>
        <v>0</v>
      </c>
      <c r="AF42" s="121">
        <f t="shared" si="41"/>
        <v>1</v>
      </c>
      <c r="AG42" s="146">
        <f t="shared" si="43"/>
        <v>0</v>
      </c>
      <c r="AH42" s="122">
        <f t="shared" si="44"/>
        <v>1</v>
      </c>
      <c r="AI42" s="111">
        <f t="shared" si="44"/>
        <v>0</v>
      </c>
      <c r="AJ42" s="147">
        <f t="shared" si="45"/>
        <v>0</v>
      </c>
      <c r="AK42" s="146">
        <f t="shared" si="4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9" ht="14" customHeight="1">
      <c r="A43" s="86" t="str">
        <f>IF(Poor!A43=0,"",Poor!A43)</f>
        <v>Maize (irrigated):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34"/>
        <v>0</v>
      </c>
      <c r="E43" s="75">
        <f>Poor!E43</f>
        <v>1</v>
      </c>
      <c r="F43" s="75">
        <f>Poor!F43</f>
        <v>1.02</v>
      </c>
      <c r="G43" s="22">
        <f t="shared" si="42"/>
        <v>1.1200000000000001</v>
      </c>
      <c r="H43" s="24">
        <f t="shared" si="35"/>
        <v>1.02</v>
      </c>
      <c r="I43" s="39">
        <f t="shared" si="36"/>
        <v>0</v>
      </c>
      <c r="J43" s="38">
        <f t="shared" si="37"/>
        <v>0</v>
      </c>
      <c r="K43" s="40">
        <f t="shared" si="38"/>
        <v>0</v>
      </c>
      <c r="L43" s="22">
        <f t="shared" si="39"/>
        <v>0</v>
      </c>
      <c r="M43" s="24">
        <f t="shared" si="40"/>
        <v>0</v>
      </c>
      <c r="N43" s="2"/>
      <c r="O43" s="2"/>
      <c r="P43" s="2"/>
      <c r="V43" s="56"/>
      <c r="W43" s="114"/>
      <c r="X43" s="117">
        <f>X11</f>
        <v>1</v>
      </c>
      <c r="Y43" s="109"/>
      <c r="Z43" s="121">
        <f>Z11</f>
        <v>0</v>
      </c>
      <c r="AA43" s="146">
        <f t="shared" si="47"/>
        <v>0</v>
      </c>
      <c r="AB43" s="121">
        <f>AB11</f>
        <v>0</v>
      </c>
      <c r="AC43" s="146">
        <f t="shared" si="48"/>
        <v>0</v>
      </c>
      <c r="AD43" s="121">
        <f>AD11</f>
        <v>0</v>
      </c>
      <c r="AE43" s="146">
        <f t="shared" si="49"/>
        <v>0</v>
      </c>
      <c r="AF43" s="121">
        <f t="shared" si="41"/>
        <v>1</v>
      </c>
      <c r="AG43" s="146">
        <f t="shared" si="43"/>
        <v>0</v>
      </c>
      <c r="AH43" s="122">
        <f t="shared" si="44"/>
        <v>1</v>
      </c>
      <c r="AI43" s="111">
        <f t="shared" si="44"/>
        <v>0</v>
      </c>
      <c r="AJ43" s="147">
        <f t="shared" si="45"/>
        <v>0</v>
      </c>
      <c r="AK43" s="146">
        <f t="shared" si="4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9" ht="14" customHeight="1">
      <c r="A44" s="86" t="str">
        <f>IF(Poor!A44=0,"",Poor!A44)</f>
        <v>Beans season 2: kg produced</v>
      </c>
      <c r="B44" s="216">
        <f>IF([1]Summ!C1079="",0,[1]Summ!C1079)</f>
        <v>0</v>
      </c>
      <c r="C44" s="216">
        <f>IF([1]Summ!D1079="",0,[1]Summ!D1079)</f>
        <v>0</v>
      </c>
      <c r="D44" s="38">
        <f t="shared" si="34"/>
        <v>0</v>
      </c>
      <c r="E44" s="75">
        <f>Poor!E44</f>
        <v>1</v>
      </c>
      <c r="F44" s="75">
        <f>Poor!F44</f>
        <v>1.1299999999999999</v>
      </c>
      <c r="G44" s="22">
        <f t="shared" si="42"/>
        <v>1.1200000000000001</v>
      </c>
      <c r="H44" s="24">
        <f t="shared" si="35"/>
        <v>1.1299999999999999</v>
      </c>
      <c r="I44" s="39">
        <f t="shared" si="36"/>
        <v>0</v>
      </c>
      <c r="J44" s="38">
        <f t="shared" si="37"/>
        <v>0</v>
      </c>
      <c r="K44" s="40">
        <f t="shared" si="38"/>
        <v>0</v>
      </c>
      <c r="L44" s="22">
        <f t="shared" si="39"/>
        <v>0</v>
      </c>
      <c r="M44" s="24">
        <f t="shared" si="40"/>
        <v>0</v>
      </c>
      <c r="N44" s="2"/>
      <c r="O44" s="2"/>
      <c r="P44" s="175"/>
      <c r="V44" s="56"/>
      <c r="W44" s="114"/>
      <c r="X44" s="117">
        <v>1</v>
      </c>
      <c r="Y44" s="109"/>
      <c r="Z44" s="155">
        <f>Poor!Z44</f>
        <v>0.25</v>
      </c>
      <c r="AA44" s="146">
        <f t="shared" si="47"/>
        <v>0</v>
      </c>
      <c r="AB44" s="155">
        <f>Poor!AB44</f>
        <v>0</v>
      </c>
      <c r="AC44" s="146">
        <f t="shared" si="48"/>
        <v>0</v>
      </c>
      <c r="AD44" s="155">
        <f>Poor!AD44</f>
        <v>0.5</v>
      </c>
      <c r="AE44" s="146">
        <f t="shared" si="49"/>
        <v>0</v>
      </c>
      <c r="AF44" s="121">
        <f t="shared" si="41"/>
        <v>0.25</v>
      </c>
      <c r="AG44" s="146">
        <f t="shared" si="43"/>
        <v>0</v>
      </c>
      <c r="AH44" s="122">
        <f t="shared" si="44"/>
        <v>1</v>
      </c>
      <c r="AI44" s="111">
        <f t="shared" si="44"/>
        <v>0</v>
      </c>
      <c r="AJ44" s="147">
        <f t="shared" si="45"/>
        <v>0</v>
      </c>
      <c r="AK44" s="146">
        <f t="shared" si="4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9" ht="14" customHeight="1">
      <c r="A45" s="86" t="str">
        <f>IF(Poor!A45=0,"",Poor!A45)</f>
        <v>Other root crops (sweet potato): no. local meas</v>
      </c>
      <c r="B45" s="216">
        <f>IF([1]Summ!C1080="",0,[1]Summ!C1080)</f>
        <v>1000</v>
      </c>
      <c r="C45" s="216">
        <f>IF([1]Summ!D1080="",0,[1]Summ!D1080)</f>
        <v>-1000</v>
      </c>
      <c r="D45" s="38">
        <f t="shared" si="34"/>
        <v>0</v>
      </c>
      <c r="E45" s="75">
        <f>Poor!E45</f>
        <v>1</v>
      </c>
      <c r="F45" s="75">
        <f>Poor!F45</f>
        <v>1</v>
      </c>
      <c r="G45" s="22">
        <f t="shared" si="42"/>
        <v>1.1200000000000001</v>
      </c>
      <c r="H45" s="24">
        <f t="shared" si="35"/>
        <v>1</v>
      </c>
      <c r="I45" s="39">
        <f t="shared" si="36"/>
        <v>0</v>
      </c>
      <c r="J45" s="38">
        <f t="shared" si="37"/>
        <v>1010.8709969906514</v>
      </c>
      <c r="K45" s="40">
        <f t="shared" si="38"/>
        <v>2.7511142012515071E-2</v>
      </c>
      <c r="L45" s="22">
        <f t="shared" si="39"/>
        <v>2.7511142012515071E-2</v>
      </c>
      <c r="M45" s="24">
        <f t="shared" si="40"/>
        <v>2.7810215554542505E-2</v>
      </c>
      <c r="N45" s="2"/>
      <c r="O45" s="2"/>
      <c r="P45" s="175"/>
      <c r="V45" s="56"/>
      <c r="W45" s="114"/>
      <c r="X45" s="117"/>
      <c r="Y45" s="109"/>
      <c r="Z45" s="155">
        <f>Poor!Z45</f>
        <v>0.25</v>
      </c>
      <c r="AA45" s="146">
        <f t="shared" si="47"/>
        <v>252.71774924766285</v>
      </c>
      <c r="AB45" s="155">
        <f>Poor!AB45</f>
        <v>0.25</v>
      </c>
      <c r="AC45" s="146">
        <f t="shared" si="48"/>
        <v>252.71774924766285</v>
      </c>
      <c r="AD45" s="155">
        <f>Poor!AD45</f>
        <v>0.25</v>
      </c>
      <c r="AE45" s="146">
        <f t="shared" si="49"/>
        <v>252.71774924766285</v>
      </c>
      <c r="AF45" s="121">
        <f t="shared" si="41"/>
        <v>0.25</v>
      </c>
      <c r="AG45" s="146">
        <f t="shared" si="43"/>
        <v>252.71774924766285</v>
      </c>
      <c r="AH45" s="122">
        <f t="shared" si="44"/>
        <v>1</v>
      </c>
      <c r="AI45" s="111">
        <f t="shared" si="44"/>
        <v>1010.8709969906514</v>
      </c>
      <c r="AJ45" s="147">
        <f t="shared" si="45"/>
        <v>505.4354984953257</v>
      </c>
      <c r="AK45" s="146">
        <f t="shared" si="46"/>
        <v>505.4354984953257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9" ht="14" customHeight="1">
      <c r="A46" s="86" t="str">
        <f>IF(Poor!A46=0,"",Poor!A46)</f>
        <v>Groundnuts (dry): no. local meas</v>
      </c>
      <c r="B46" s="216">
        <f>IF([1]Summ!C1081="",0,[1]Summ!C1081)</f>
        <v>138</v>
      </c>
      <c r="C46" s="216">
        <f>IF([1]Summ!D1081="",0,[1]Summ!D1081)</f>
        <v>-138</v>
      </c>
      <c r="D46" s="38">
        <f t="shared" si="34"/>
        <v>0</v>
      </c>
      <c r="E46" s="75">
        <f>Poor!E46</f>
        <v>1</v>
      </c>
      <c r="F46" s="75">
        <f>Poor!F46</f>
        <v>1</v>
      </c>
      <c r="G46" s="22">
        <f t="shared" si="42"/>
        <v>1.1200000000000001</v>
      </c>
      <c r="H46" s="24">
        <f t="shared" si="35"/>
        <v>1</v>
      </c>
      <c r="I46" s="39">
        <f t="shared" si="36"/>
        <v>0</v>
      </c>
      <c r="J46" s="38">
        <f t="shared" si="37"/>
        <v>139.50019758470989</v>
      </c>
      <c r="K46" s="40">
        <f t="shared" si="38"/>
        <v>3.7965375977270796E-3</v>
      </c>
      <c r="L46" s="22">
        <f t="shared" si="39"/>
        <v>3.7965375977270796E-3</v>
      </c>
      <c r="M46" s="24">
        <f t="shared" si="40"/>
        <v>3.8378097465268657E-3</v>
      </c>
      <c r="N46" s="2"/>
      <c r="O46" s="2"/>
      <c r="P46" s="2"/>
      <c r="V46" s="56"/>
      <c r="W46" s="116"/>
      <c r="X46" s="117"/>
      <c r="Y46" s="109"/>
      <c r="Z46" s="155">
        <f>Poor!Z46</f>
        <v>0.25</v>
      </c>
      <c r="AA46" s="146">
        <f t="shared" si="47"/>
        <v>34.875049396177474</v>
      </c>
      <c r="AB46" s="155">
        <f>Poor!AB46</f>
        <v>0.25</v>
      </c>
      <c r="AC46" s="146">
        <f t="shared" si="48"/>
        <v>34.875049396177474</v>
      </c>
      <c r="AD46" s="155">
        <f>Poor!AD46</f>
        <v>0.25</v>
      </c>
      <c r="AE46" s="146">
        <f t="shared" si="49"/>
        <v>34.875049396177474</v>
      </c>
      <c r="AF46" s="121">
        <f t="shared" si="41"/>
        <v>0.25</v>
      </c>
      <c r="AG46" s="146">
        <f t="shared" si="43"/>
        <v>34.875049396177474</v>
      </c>
      <c r="AH46" s="122">
        <f t="shared" si="44"/>
        <v>1</v>
      </c>
      <c r="AI46" s="111">
        <f t="shared" si="44"/>
        <v>139.50019758470989</v>
      </c>
      <c r="AJ46" s="147">
        <f t="shared" si="45"/>
        <v>69.750098792354947</v>
      </c>
      <c r="AK46" s="146">
        <f t="shared" si="46"/>
        <v>69.750098792354947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9" ht="14" customHeight="1">
      <c r="A47" s="74" t="str">
        <f>IF(Poor!A47=0,"",Poor!A47)</f>
        <v>Other crop: Rape</v>
      </c>
      <c r="B47" s="216">
        <f>IF([1]Summ!C1082="",0,[1]Summ!C1082)</f>
        <v>0</v>
      </c>
      <c r="C47" s="216">
        <f>IF([1]Summ!D1082="",0,[1]Summ!D1082)</f>
        <v>0</v>
      </c>
      <c r="D47" s="38">
        <f t="shared" si="34"/>
        <v>0</v>
      </c>
      <c r="E47" s="75">
        <f>Poor!E47</f>
        <v>1</v>
      </c>
      <c r="F47" s="75">
        <f>Poor!F47</f>
        <v>1.07</v>
      </c>
      <c r="G47" s="22">
        <f t="shared" si="42"/>
        <v>1.1200000000000001</v>
      </c>
      <c r="H47" s="24">
        <f t="shared" si="35"/>
        <v>1.07</v>
      </c>
      <c r="I47" s="39">
        <f t="shared" si="36"/>
        <v>0</v>
      </c>
      <c r="J47" s="38">
        <f t="shared" si="37"/>
        <v>0</v>
      </c>
      <c r="K47" s="40">
        <f t="shared" si="38"/>
        <v>0</v>
      </c>
      <c r="L47" s="22">
        <f t="shared" si="39"/>
        <v>0</v>
      </c>
      <c r="M47" s="24">
        <f t="shared" si="40"/>
        <v>0</v>
      </c>
      <c r="N47" s="2"/>
      <c r="O47" s="2"/>
      <c r="P47" s="2"/>
      <c r="V47" s="56"/>
      <c r="W47" s="109"/>
      <c r="X47" s="117"/>
      <c r="Y47" s="109"/>
      <c r="Z47" s="155">
        <f>Poor!Z47</f>
        <v>0.25</v>
      </c>
      <c r="AA47" s="146">
        <f t="shared" si="47"/>
        <v>0</v>
      </c>
      <c r="AB47" s="155">
        <f>Poor!AB47</f>
        <v>0.25</v>
      </c>
      <c r="AC47" s="146">
        <f t="shared" si="48"/>
        <v>0</v>
      </c>
      <c r="AD47" s="155">
        <f>Poor!AD47</f>
        <v>0.25</v>
      </c>
      <c r="AE47" s="146">
        <f t="shared" si="49"/>
        <v>0</v>
      </c>
      <c r="AF47" s="121">
        <f t="shared" si="41"/>
        <v>0.25</v>
      </c>
      <c r="AG47" s="146">
        <f t="shared" si="43"/>
        <v>0</v>
      </c>
      <c r="AH47" s="122">
        <f t="shared" si="44"/>
        <v>1</v>
      </c>
      <c r="AI47" s="111">
        <f t="shared" si="44"/>
        <v>0</v>
      </c>
      <c r="AJ47" s="147">
        <f t="shared" si="45"/>
        <v>0</v>
      </c>
      <c r="AK47" s="146">
        <f t="shared" si="4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9" ht="14" customHeight="1">
      <c r="A48" s="74" t="str">
        <f>IF(Poor!A48=0,"",Poor!A48)</f>
        <v>Other cashcrop (cabbage):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34"/>
        <v>0</v>
      </c>
      <c r="E48" s="75">
        <f>Poor!E48</f>
        <v>1</v>
      </c>
      <c r="F48" s="75">
        <f>Poor!F48</f>
        <v>1.08</v>
      </c>
      <c r="G48" s="22">
        <f t="shared" si="42"/>
        <v>1.1200000000000001</v>
      </c>
      <c r="H48" s="24">
        <f t="shared" si="35"/>
        <v>1.08</v>
      </c>
      <c r="I48" s="39">
        <f t="shared" si="36"/>
        <v>0</v>
      </c>
      <c r="J48" s="38">
        <f t="shared" si="37"/>
        <v>0</v>
      </c>
      <c r="K48" s="40">
        <f t="shared" si="38"/>
        <v>0</v>
      </c>
      <c r="L48" s="22">
        <f t="shared" si="39"/>
        <v>0</v>
      </c>
      <c r="M48" s="24">
        <f t="shared" si="40"/>
        <v>0</v>
      </c>
      <c r="N48" s="2"/>
      <c r="O48" s="2"/>
      <c r="P48" s="2"/>
      <c r="V48" s="56"/>
      <c r="W48" s="109"/>
      <c r="X48" s="117"/>
      <c r="Y48" s="109"/>
      <c r="Z48" s="155">
        <f>Poor!Z48</f>
        <v>0.25</v>
      </c>
      <c r="AA48" s="146">
        <f t="shared" si="47"/>
        <v>0</v>
      </c>
      <c r="AB48" s="155">
        <f>Poor!AB48</f>
        <v>0.25</v>
      </c>
      <c r="AC48" s="146">
        <f t="shared" si="48"/>
        <v>0</v>
      </c>
      <c r="AD48" s="155">
        <f>Poor!AD48</f>
        <v>0.25</v>
      </c>
      <c r="AE48" s="146">
        <f t="shared" si="49"/>
        <v>0</v>
      </c>
      <c r="AF48" s="121">
        <f t="shared" si="41"/>
        <v>0.25</v>
      </c>
      <c r="AG48" s="146">
        <f t="shared" si="43"/>
        <v>0</v>
      </c>
      <c r="AH48" s="122">
        <f t="shared" si="44"/>
        <v>1</v>
      </c>
      <c r="AI48" s="111">
        <f t="shared" si="44"/>
        <v>0</v>
      </c>
      <c r="AJ48" s="147">
        <f t="shared" si="45"/>
        <v>0</v>
      </c>
      <c r="AK48" s="146">
        <f t="shared" si="4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FISHING -- see worksheet Data 3</v>
      </c>
      <c r="B49" s="216">
        <f>IF([1]Summ!C1084="",0,[1]Summ!C1084)</f>
        <v>0</v>
      </c>
      <c r="C49" s="216">
        <f>IF([1]Summ!D1084="",0,[1]Summ!D1084)</f>
        <v>0</v>
      </c>
      <c r="D49" s="38">
        <f t="shared" si="34"/>
        <v>0</v>
      </c>
      <c r="E49" s="75">
        <f>Poor!E49</f>
        <v>1</v>
      </c>
      <c r="F49" s="75">
        <f>Poor!F49</f>
        <v>1</v>
      </c>
      <c r="G49" s="22">
        <f t="shared" si="42"/>
        <v>1.1200000000000001</v>
      </c>
      <c r="H49" s="24">
        <f t="shared" si="35"/>
        <v>1</v>
      </c>
      <c r="I49" s="39">
        <f t="shared" si="36"/>
        <v>0</v>
      </c>
      <c r="J49" s="38">
        <f t="shared" si="37"/>
        <v>0</v>
      </c>
      <c r="K49" s="40">
        <f t="shared" si="38"/>
        <v>0</v>
      </c>
      <c r="L49" s="22">
        <f t="shared" si="39"/>
        <v>0</v>
      </c>
      <c r="M49" s="24">
        <f t="shared" si="4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09"/>
      <c r="X49" s="117"/>
      <c r="Y49" s="109"/>
      <c r="Z49" s="155">
        <f>Poor!Z49</f>
        <v>0.25</v>
      </c>
      <c r="AA49" s="146">
        <f t="shared" si="47"/>
        <v>0</v>
      </c>
      <c r="AB49" s="155">
        <f>Poor!AB49</f>
        <v>0.25</v>
      </c>
      <c r="AC49" s="146">
        <f t="shared" si="48"/>
        <v>0</v>
      </c>
      <c r="AD49" s="155">
        <f>Poor!AD49</f>
        <v>0.25</v>
      </c>
      <c r="AE49" s="146">
        <f t="shared" si="49"/>
        <v>0</v>
      </c>
      <c r="AF49" s="121">
        <f t="shared" si="41"/>
        <v>0.25</v>
      </c>
      <c r="AG49" s="146">
        <f t="shared" si="43"/>
        <v>0</v>
      </c>
      <c r="AH49" s="122">
        <f t="shared" si="44"/>
        <v>1</v>
      </c>
      <c r="AI49" s="111">
        <f t="shared" si="44"/>
        <v>0</v>
      </c>
      <c r="AJ49" s="147">
        <f t="shared" si="45"/>
        <v>0</v>
      </c>
      <c r="AK49" s="146">
        <f t="shared" si="4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216">
        <f>IF([1]Summ!C1085="",0,[1]Summ!C1085)</f>
        <v>1340</v>
      </c>
      <c r="C50" s="216">
        <f>IF([1]Summ!D1085="",0,[1]Summ!D1085)</f>
        <v>-590</v>
      </c>
      <c r="D50" s="38">
        <f t="shared" si="34"/>
        <v>750</v>
      </c>
      <c r="E50" s="75">
        <f>Poor!E50</f>
        <v>0.8</v>
      </c>
      <c r="F50" s="75">
        <f>Poor!F50</f>
        <v>1</v>
      </c>
      <c r="G50" s="22">
        <f t="shared" si="42"/>
        <v>1.1200000000000001</v>
      </c>
      <c r="H50" s="24">
        <f t="shared" si="35"/>
        <v>0.8</v>
      </c>
      <c r="I50" s="39">
        <f t="shared" si="36"/>
        <v>600</v>
      </c>
      <c r="J50" s="38">
        <f t="shared" si="37"/>
        <v>1077.1311105795876</v>
      </c>
      <c r="K50" s="40">
        <f t="shared" si="38"/>
        <v>3.6864930296770196E-2</v>
      </c>
      <c r="L50" s="22">
        <f t="shared" si="39"/>
        <v>2.9491944237416159E-2</v>
      </c>
      <c r="M50" s="24">
        <f t="shared" si="40"/>
        <v>2.9633106949253109E-2</v>
      </c>
      <c r="N50" s="2"/>
      <c r="O50" s="2"/>
      <c r="P50" s="2"/>
      <c r="Q50" s="2"/>
      <c r="R50" s="219"/>
      <c r="S50" s="2"/>
      <c r="T50" s="2"/>
      <c r="U50" s="56"/>
      <c r="V50" s="56"/>
      <c r="W50" s="109"/>
      <c r="X50" s="117"/>
      <c r="Y50" s="109"/>
      <c r="Z50" s="155">
        <f>Poor!Z50</f>
        <v>0.25</v>
      </c>
      <c r="AA50" s="146">
        <f t="shared" si="47"/>
        <v>269.2827776448969</v>
      </c>
      <c r="AB50" s="155">
        <f>Poor!AB50</f>
        <v>0.25</v>
      </c>
      <c r="AC50" s="146">
        <f t="shared" si="48"/>
        <v>269.2827776448969</v>
      </c>
      <c r="AD50" s="155">
        <f>Poor!AD50</f>
        <v>0.25</v>
      </c>
      <c r="AE50" s="146">
        <f t="shared" si="49"/>
        <v>269.2827776448969</v>
      </c>
      <c r="AF50" s="121">
        <f t="shared" si="41"/>
        <v>0.25</v>
      </c>
      <c r="AG50" s="146">
        <f t="shared" si="43"/>
        <v>269.2827776448969</v>
      </c>
      <c r="AH50" s="122">
        <f t="shared" si="44"/>
        <v>1</v>
      </c>
      <c r="AI50" s="111">
        <f t="shared" si="44"/>
        <v>1077.1311105795876</v>
      </c>
      <c r="AJ50" s="147">
        <f t="shared" si="45"/>
        <v>538.56555528979379</v>
      </c>
      <c r="AK50" s="146">
        <f t="shared" si="46"/>
        <v>538.56555528979379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casual work -- see Data2</v>
      </c>
      <c r="B51" s="216">
        <f>IF([1]Summ!C1086="",0,[1]Summ!C1086)</f>
        <v>900</v>
      </c>
      <c r="C51" s="216">
        <f>IF([1]Summ!D1086="",0,[1]Summ!D1086)</f>
        <v>0</v>
      </c>
      <c r="D51" s="38">
        <f t="shared" si="34"/>
        <v>900</v>
      </c>
      <c r="E51" s="75">
        <f>Poor!E51</f>
        <v>0.87</v>
      </c>
      <c r="F51" s="75">
        <f>Poor!F51</f>
        <v>1.1100000000000001</v>
      </c>
      <c r="G51" s="22">
        <f t="shared" si="42"/>
        <v>1.1200000000000001</v>
      </c>
      <c r="H51" s="24">
        <f t="shared" si="35"/>
        <v>0.96570000000000011</v>
      </c>
      <c r="I51" s="39">
        <f t="shared" si="36"/>
        <v>869.13000000000011</v>
      </c>
      <c r="J51" s="38">
        <f t="shared" si="37"/>
        <v>869.13000000000011</v>
      </c>
      <c r="K51" s="40">
        <f t="shared" si="38"/>
        <v>2.4760027811263564E-2</v>
      </c>
      <c r="L51" s="22">
        <f t="shared" si="39"/>
        <v>2.3910758857337226E-2</v>
      </c>
      <c r="M51" s="24">
        <f t="shared" si="40"/>
        <v>2.3910758857337226E-2</v>
      </c>
      <c r="N51" s="2"/>
      <c r="O51" s="2"/>
      <c r="P51" s="2"/>
      <c r="Q51" s="2"/>
      <c r="R51" s="219"/>
      <c r="S51" s="2"/>
      <c r="T51" s="2"/>
      <c r="U51" s="56"/>
      <c r="V51" s="56"/>
      <c r="W51" s="109"/>
      <c r="X51" s="117"/>
      <c r="Y51" s="109"/>
      <c r="Z51" s="155">
        <f>Poor!Z51</f>
        <v>0.25</v>
      </c>
      <c r="AA51" s="146">
        <f t="shared" si="47"/>
        <v>217.28250000000003</v>
      </c>
      <c r="AB51" s="155">
        <f>Poor!AB51</f>
        <v>0.25</v>
      </c>
      <c r="AC51" s="146">
        <f t="shared" si="48"/>
        <v>217.28250000000003</v>
      </c>
      <c r="AD51" s="155">
        <f>Poor!AD51</f>
        <v>0.25</v>
      </c>
      <c r="AE51" s="146">
        <f t="shared" si="49"/>
        <v>217.28250000000003</v>
      </c>
      <c r="AF51" s="121">
        <f t="shared" si="41"/>
        <v>0.25</v>
      </c>
      <c r="AG51" s="146">
        <f t="shared" si="43"/>
        <v>217.28250000000003</v>
      </c>
      <c r="AH51" s="122">
        <f t="shared" si="44"/>
        <v>1</v>
      </c>
      <c r="AI51" s="111">
        <f t="shared" si="44"/>
        <v>869.13000000000011</v>
      </c>
      <c r="AJ51" s="147">
        <f t="shared" si="45"/>
        <v>434.56500000000005</v>
      </c>
      <c r="AK51" s="146">
        <f t="shared" si="46"/>
        <v>434.56500000000005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casual work -- see Data2</v>
      </c>
      <c r="B52" s="216">
        <f>IF([1]Summ!C1087="",0,[1]Summ!C1087)</f>
        <v>1440</v>
      </c>
      <c r="C52" s="216">
        <f>IF([1]Summ!D1087="",0,[1]Summ!D1087)</f>
        <v>0</v>
      </c>
      <c r="D52" s="38">
        <f t="shared" si="34"/>
        <v>1440</v>
      </c>
      <c r="E52" s="75">
        <f>Poor!E52</f>
        <v>1</v>
      </c>
      <c r="F52" s="75">
        <f>Poor!F52</f>
        <v>1.1000000000000001</v>
      </c>
      <c r="G52" s="22">
        <f t="shared" si="42"/>
        <v>1.1200000000000001</v>
      </c>
      <c r="H52" s="24">
        <f t="shared" si="35"/>
        <v>1.1000000000000001</v>
      </c>
      <c r="I52" s="39">
        <f t="shared" si="36"/>
        <v>1584.0000000000002</v>
      </c>
      <c r="J52" s="38">
        <f t="shared" si="37"/>
        <v>1584.0000000000005</v>
      </c>
      <c r="K52" s="40">
        <f t="shared" si="38"/>
        <v>3.9616044498021703E-2</v>
      </c>
      <c r="L52" s="22">
        <f t="shared" si="39"/>
        <v>4.3577648947823878E-2</v>
      </c>
      <c r="M52" s="24">
        <f t="shared" si="40"/>
        <v>4.3577648947823885E-2</v>
      </c>
      <c r="N52" s="2"/>
      <c r="O52" s="2"/>
      <c r="P52" s="2"/>
      <c r="Q52" s="2"/>
      <c r="R52" s="220"/>
      <c r="S52" s="2"/>
      <c r="T52" s="2"/>
      <c r="U52" s="56"/>
      <c r="V52" s="56"/>
      <c r="W52" s="109"/>
      <c r="X52" s="117"/>
      <c r="Y52" s="109"/>
      <c r="Z52" s="155">
        <f>Poor!Z52</f>
        <v>0.25</v>
      </c>
      <c r="AA52" s="146">
        <f t="shared" si="47"/>
        <v>396.00000000000011</v>
      </c>
      <c r="AB52" s="155">
        <f>Poor!AB52</f>
        <v>0.25</v>
      </c>
      <c r="AC52" s="146">
        <f t="shared" si="48"/>
        <v>396.00000000000011</v>
      </c>
      <c r="AD52" s="155">
        <f>Poor!AD52</f>
        <v>0.25</v>
      </c>
      <c r="AE52" s="146">
        <f t="shared" si="49"/>
        <v>396.00000000000011</v>
      </c>
      <c r="AF52" s="121">
        <f t="shared" si="41"/>
        <v>0.25</v>
      </c>
      <c r="AG52" s="146">
        <f t="shared" si="43"/>
        <v>396.00000000000011</v>
      </c>
      <c r="AH52" s="122">
        <f t="shared" si="44"/>
        <v>1</v>
      </c>
      <c r="AI52" s="111">
        <f t="shared" si="44"/>
        <v>1584.0000000000005</v>
      </c>
      <c r="AJ52" s="147">
        <f t="shared" si="45"/>
        <v>792.00000000000023</v>
      </c>
      <c r="AK52" s="146">
        <f t="shared" si="46"/>
        <v>792.00000000000023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casual work -- see Data2</v>
      </c>
      <c r="B53" s="216">
        <f>IF([1]Summ!C1088="",0,[1]Summ!C1088)</f>
        <v>4800</v>
      </c>
      <c r="C53" s="216">
        <f>IF([1]Summ!D1088="",0,[1]Summ!D1088)</f>
        <v>0</v>
      </c>
      <c r="D53" s="38">
        <f t="shared" si="34"/>
        <v>4800</v>
      </c>
      <c r="E53" s="75">
        <f>Poor!E53</f>
        <v>1</v>
      </c>
      <c r="F53" s="75">
        <f>Poor!F53</f>
        <v>1.1000000000000001</v>
      </c>
      <c r="G53" s="22">
        <f t="shared" si="42"/>
        <v>1.1200000000000001</v>
      </c>
      <c r="H53" s="24">
        <f t="shared" si="35"/>
        <v>1.1000000000000001</v>
      </c>
      <c r="I53" s="39">
        <f t="shared" si="36"/>
        <v>5280</v>
      </c>
      <c r="J53" s="38">
        <f t="shared" si="37"/>
        <v>5280</v>
      </c>
      <c r="K53" s="40">
        <f t="shared" si="38"/>
        <v>0.13205348166007233</v>
      </c>
      <c r="L53" s="22">
        <f t="shared" si="39"/>
        <v>0.14525882982607957</v>
      </c>
      <c r="M53" s="24">
        <f t="shared" si="40"/>
        <v>0.14525882982607957</v>
      </c>
      <c r="N53" s="2"/>
      <c r="O53" s="2"/>
      <c r="P53" s="2"/>
      <c r="Q53" s="2"/>
      <c r="R53" s="2"/>
      <c r="S53" s="2"/>
      <c r="T53" s="2"/>
      <c r="U53" s="56"/>
      <c r="V53" s="56"/>
      <c r="W53" s="109"/>
      <c r="X53" s="117"/>
      <c r="Y53" s="109"/>
      <c r="Z53" s="155">
        <f>Poor!Z53</f>
        <v>0.25</v>
      </c>
      <c r="AA53" s="146">
        <f t="shared" si="47"/>
        <v>1320</v>
      </c>
      <c r="AB53" s="155">
        <f>Poor!AB53</f>
        <v>0.25</v>
      </c>
      <c r="AC53" s="146">
        <f t="shared" si="48"/>
        <v>1320</v>
      </c>
      <c r="AD53" s="155">
        <f>Poor!AD53</f>
        <v>0.25</v>
      </c>
      <c r="AE53" s="146">
        <f t="shared" si="49"/>
        <v>1320</v>
      </c>
      <c r="AF53" s="121">
        <f t="shared" si="41"/>
        <v>0.25</v>
      </c>
      <c r="AG53" s="146">
        <f t="shared" si="43"/>
        <v>1320</v>
      </c>
      <c r="AH53" s="122">
        <f t="shared" si="44"/>
        <v>1</v>
      </c>
      <c r="AI53" s="111">
        <f t="shared" si="44"/>
        <v>5280</v>
      </c>
      <c r="AJ53" s="147">
        <f t="shared" si="45"/>
        <v>2640</v>
      </c>
      <c r="AK53" s="146">
        <f t="shared" si="46"/>
        <v>2640</v>
      </c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Labour migration: no. people per HH</v>
      </c>
      <c r="B54" s="216">
        <f>IF([1]Summ!C1089="",0,[1]Summ!C1089)</f>
        <v>0</v>
      </c>
      <c r="C54" s="216">
        <f>IF([1]Summ!D1089="",0,[1]Summ!D1089)</f>
        <v>0</v>
      </c>
      <c r="D54" s="38">
        <f t="shared" si="34"/>
        <v>0</v>
      </c>
      <c r="E54" s="75">
        <f>Poor!E54</f>
        <v>1</v>
      </c>
      <c r="F54" s="75">
        <f>Poor!F54</f>
        <v>1.07</v>
      </c>
      <c r="G54" s="22">
        <f t="shared" si="42"/>
        <v>1.1200000000000001</v>
      </c>
      <c r="H54" s="24">
        <f t="shared" si="35"/>
        <v>1.07</v>
      </c>
      <c r="I54" s="39">
        <f t="shared" si="36"/>
        <v>0</v>
      </c>
      <c r="J54" s="38">
        <f t="shared" si="37"/>
        <v>0</v>
      </c>
      <c r="K54" s="40">
        <f t="shared" si="38"/>
        <v>0</v>
      </c>
      <c r="L54" s="22">
        <f t="shared" si="39"/>
        <v>0</v>
      </c>
      <c r="M54" s="24">
        <f t="shared" si="40"/>
        <v>0</v>
      </c>
      <c r="N54" s="2"/>
      <c r="O54" s="2"/>
      <c r="P54" s="2"/>
      <c r="Q54" s="2"/>
      <c r="R54" s="220"/>
      <c r="S54" s="68"/>
      <c r="T54" s="2"/>
      <c r="U54" s="56"/>
      <c r="V54" s="56"/>
      <c r="W54" s="109"/>
      <c r="X54" s="117"/>
      <c r="Y54" s="109"/>
      <c r="Z54" s="155">
        <f>Poor!Z54</f>
        <v>0.25</v>
      </c>
      <c r="AA54" s="146">
        <f t="shared" si="47"/>
        <v>0</v>
      </c>
      <c r="AB54" s="155">
        <f>Poor!AB54</f>
        <v>0.25</v>
      </c>
      <c r="AC54" s="146">
        <f t="shared" si="48"/>
        <v>0</v>
      </c>
      <c r="AD54" s="155">
        <f>Poor!AD54</f>
        <v>0.25</v>
      </c>
      <c r="AE54" s="146">
        <f t="shared" si="49"/>
        <v>0</v>
      </c>
      <c r="AF54" s="121">
        <f t="shared" si="41"/>
        <v>0.25</v>
      </c>
      <c r="AG54" s="146">
        <f t="shared" si="43"/>
        <v>0</v>
      </c>
      <c r="AH54" s="122">
        <f t="shared" si="44"/>
        <v>1</v>
      </c>
      <c r="AI54" s="111">
        <f t="shared" si="44"/>
        <v>0</v>
      </c>
      <c r="AJ54" s="147">
        <f t="shared" si="45"/>
        <v>0</v>
      </c>
      <c r="AK54" s="146">
        <f t="shared" si="46"/>
        <v>0</v>
      </c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Formal Employment (e.g. teachers, salaried staff, etc.)</v>
      </c>
      <c r="B55" s="216">
        <f>IF([1]Summ!C1090="",0,[1]Summ!C1090)</f>
        <v>0</v>
      </c>
      <c r="C55" s="216">
        <f>IF([1]Summ!D1090="",0,[1]Summ!D1090)</f>
        <v>0</v>
      </c>
      <c r="D55" s="38">
        <f t="shared" si="34"/>
        <v>0</v>
      </c>
      <c r="E55" s="75">
        <f>Poor!E55</f>
        <v>1</v>
      </c>
      <c r="F55" s="75">
        <f>Poor!F55</f>
        <v>1.07</v>
      </c>
      <c r="G55" s="22">
        <f t="shared" si="42"/>
        <v>1.1200000000000001</v>
      </c>
      <c r="H55" s="24">
        <f t="shared" si="35"/>
        <v>1.07</v>
      </c>
      <c r="I55" s="39">
        <f t="shared" si="36"/>
        <v>0</v>
      </c>
      <c r="J55" s="38">
        <f t="shared" si="37"/>
        <v>0</v>
      </c>
      <c r="K55" s="40">
        <f t="shared" si="38"/>
        <v>0</v>
      </c>
      <c r="L55" s="22">
        <f t="shared" si="39"/>
        <v>0</v>
      </c>
      <c r="M55" s="24">
        <f t="shared" si="40"/>
        <v>0</v>
      </c>
      <c r="N55" s="2"/>
      <c r="O55" s="2"/>
      <c r="P55" s="2"/>
      <c r="Q55" s="2"/>
      <c r="R55" s="220"/>
      <c r="S55" s="68"/>
      <c r="T55" s="2"/>
      <c r="U55" s="56"/>
      <c r="V55" s="56"/>
      <c r="W55" s="109"/>
      <c r="X55" s="117"/>
      <c r="Y55" s="109"/>
      <c r="Z55" s="155">
        <f>Poor!Z55</f>
        <v>0.25</v>
      </c>
      <c r="AA55" s="146">
        <f t="shared" si="47"/>
        <v>0</v>
      </c>
      <c r="AB55" s="155">
        <f>Poor!AB55</f>
        <v>0.25</v>
      </c>
      <c r="AC55" s="146">
        <f t="shared" si="48"/>
        <v>0</v>
      </c>
      <c r="AD55" s="155">
        <f>Poor!AD55</f>
        <v>0.25</v>
      </c>
      <c r="AE55" s="146">
        <f t="shared" si="49"/>
        <v>0</v>
      </c>
      <c r="AF55" s="121">
        <f t="shared" si="41"/>
        <v>0.25</v>
      </c>
      <c r="AG55" s="146">
        <f t="shared" si="43"/>
        <v>0</v>
      </c>
      <c r="AH55" s="122">
        <f t="shared" si="44"/>
        <v>1</v>
      </c>
      <c r="AI55" s="111">
        <f t="shared" si="44"/>
        <v>0</v>
      </c>
      <c r="AJ55" s="147">
        <f t="shared" si="45"/>
        <v>0</v>
      </c>
      <c r="AK55" s="146">
        <f t="shared" si="46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Self-employment -- see Data2</v>
      </c>
      <c r="B56" s="216">
        <f>IF([1]Summ!C1091="",0,[1]Summ!C1091)</f>
        <v>5250</v>
      </c>
      <c r="C56" s="216">
        <f>IF([1]Summ!D1091="",0,[1]Summ!D1091)</f>
        <v>1050</v>
      </c>
      <c r="D56" s="38">
        <f t="shared" si="34"/>
        <v>6300</v>
      </c>
      <c r="E56" s="75">
        <f>Poor!E56</f>
        <v>1</v>
      </c>
      <c r="F56" s="75">
        <f>Poor!F56</f>
        <v>1.1000000000000001</v>
      </c>
      <c r="G56" s="22">
        <f t="shared" si="42"/>
        <v>1.1200000000000001</v>
      </c>
      <c r="H56" s="24">
        <f t="shared" si="35"/>
        <v>1.1000000000000001</v>
      </c>
      <c r="I56" s="39">
        <f t="shared" si="36"/>
        <v>6930.0000000000009</v>
      </c>
      <c r="J56" s="38">
        <f t="shared" si="37"/>
        <v>5762.4439984757992</v>
      </c>
      <c r="K56" s="40">
        <f t="shared" si="38"/>
        <v>0.14443349556570412</v>
      </c>
      <c r="L56" s="22">
        <f t="shared" si="39"/>
        <v>0.15887684512227454</v>
      </c>
      <c r="M56" s="24">
        <f t="shared" si="40"/>
        <v>0.1585314151812329</v>
      </c>
      <c r="N56" s="2"/>
      <c r="O56" s="2"/>
      <c r="P56" s="2"/>
      <c r="Q56" s="2"/>
      <c r="R56" s="220"/>
      <c r="S56" s="2"/>
      <c r="T56" s="2"/>
      <c r="U56" s="56"/>
      <c r="V56" s="56"/>
      <c r="W56" s="109"/>
      <c r="X56" s="117"/>
      <c r="Y56" s="109"/>
      <c r="Z56" s="155">
        <f>Poor!Z56</f>
        <v>0.25</v>
      </c>
      <c r="AA56" s="146">
        <f t="shared" si="47"/>
        <v>1440.6109996189498</v>
      </c>
      <c r="AB56" s="155">
        <f>Poor!AB56</f>
        <v>0.25</v>
      </c>
      <c r="AC56" s="146">
        <f t="shared" si="48"/>
        <v>1440.6109996189498</v>
      </c>
      <c r="AD56" s="155">
        <f>Poor!AD56</f>
        <v>0.25</v>
      </c>
      <c r="AE56" s="146">
        <f t="shared" si="49"/>
        <v>1440.6109996189498</v>
      </c>
      <c r="AF56" s="121">
        <f t="shared" si="41"/>
        <v>0.25</v>
      </c>
      <c r="AG56" s="146">
        <f t="shared" si="43"/>
        <v>1440.6109996189498</v>
      </c>
      <c r="AH56" s="122">
        <f t="shared" ref="AH56:AI61" si="50">SUM(Z56,AB56,AD56,AF56)</f>
        <v>1</v>
      </c>
      <c r="AI56" s="111">
        <f t="shared" si="50"/>
        <v>5762.4439984757992</v>
      </c>
      <c r="AJ56" s="147">
        <f t="shared" si="45"/>
        <v>2881.2219992378996</v>
      </c>
      <c r="AK56" s="146">
        <f t="shared" si="46"/>
        <v>2881.2219992378996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Small business -- see Data2</v>
      </c>
      <c r="B57" s="216">
        <f>IF([1]Summ!C1092="",0,[1]Summ!C1092)</f>
        <v>0</v>
      </c>
      <c r="C57" s="216">
        <f>IF([1]Summ!D1092="",0,[1]Summ!D1092)</f>
        <v>0</v>
      </c>
      <c r="D57" s="38">
        <f t="shared" si="34"/>
        <v>0</v>
      </c>
      <c r="E57" s="75">
        <f>Poor!E57</f>
        <v>1</v>
      </c>
      <c r="F57" s="75">
        <f>Poor!F57</f>
        <v>1.05</v>
      </c>
      <c r="G57" s="22">
        <f t="shared" si="42"/>
        <v>1.1200000000000001</v>
      </c>
      <c r="H57" s="24">
        <f t="shared" si="35"/>
        <v>1.05</v>
      </c>
      <c r="I57" s="39">
        <f t="shared" si="36"/>
        <v>0</v>
      </c>
      <c r="J57" s="38">
        <f t="shared" si="37"/>
        <v>0</v>
      </c>
      <c r="K57" s="40">
        <f t="shared" si="38"/>
        <v>0</v>
      </c>
      <c r="L57" s="22">
        <f t="shared" si="39"/>
        <v>0</v>
      </c>
      <c r="M57" s="24">
        <f t="shared" si="40"/>
        <v>0</v>
      </c>
      <c r="N57" s="2"/>
      <c r="O57" s="2"/>
      <c r="P57" s="2"/>
      <c r="Q57" s="2"/>
      <c r="R57" s="22"/>
      <c r="S57" s="2"/>
      <c r="T57" s="2"/>
      <c r="U57" s="56"/>
      <c r="V57" s="56"/>
      <c r="W57" s="109"/>
      <c r="X57" s="117"/>
      <c r="Y57" s="109"/>
      <c r="Z57" s="155">
        <f>Poor!Z57</f>
        <v>0.25</v>
      </c>
      <c r="AA57" s="146">
        <f t="shared" si="47"/>
        <v>0</v>
      </c>
      <c r="AB57" s="155">
        <f>Poor!AB57</f>
        <v>0.25</v>
      </c>
      <c r="AC57" s="146">
        <f t="shared" si="48"/>
        <v>0</v>
      </c>
      <c r="AD57" s="155">
        <f>Poor!AD57</f>
        <v>0.25</v>
      </c>
      <c r="AE57" s="146">
        <f t="shared" si="49"/>
        <v>0</v>
      </c>
      <c r="AF57" s="121">
        <f t="shared" si="41"/>
        <v>0.25</v>
      </c>
      <c r="AG57" s="146">
        <f t="shared" si="43"/>
        <v>0</v>
      </c>
      <c r="AH57" s="122">
        <f t="shared" si="50"/>
        <v>1</v>
      </c>
      <c r="AI57" s="111">
        <f t="shared" si="50"/>
        <v>0</v>
      </c>
      <c r="AJ57" s="147">
        <f t="shared" si="45"/>
        <v>0</v>
      </c>
      <c r="AK57" s="146">
        <f t="shared" si="46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Social Cash Transfers -- see Data2</v>
      </c>
      <c r="B58" s="216">
        <f>IF([1]Summ!C1093="",0,[1]Summ!C1093)</f>
        <v>21480.909090909092</v>
      </c>
      <c r="C58" s="216">
        <f>IF([1]Summ!D1093="",0,[1]Summ!D1093)</f>
        <v>0</v>
      </c>
      <c r="D58" s="38">
        <f t="shared" si="34"/>
        <v>21480.909090909092</v>
      </c>
      <c r="E58" s="75">
        <f>Poor!E58</f>
        <v>1</v>
      </c>
      <c r="F58" s="75">
        <f>Poor!F58</f>
        <v>1.1100000000000001</v>
      </c>
      <c r="G58" s="22">
        <f t="shared" si="42"/>
        <v>1.1200000000000001</v>
      </c>
      <c r="H58" s="24">
        <f t="shared" si="35"/>
        <v>1.1100000000000001</v>
      </c>
      <c r="I58" s="39">
        <f t="shared" si="36"/>
        <v>23843.809090909093</v>
      </c>
      <c r="J58" s="38">
        <f t="shared" si="37"/>
        <v>23843.809090909101</v>
      </c>
      <c r="K58" s="40">
        <f t="shared" si="38"/>
        <v>0.59096434055792602</v>
      </c>
      <c r="L58" s="22">
        <f t="shared" si="39"/>
        <v>0.6559704180192979</v>
      </c>
      <c r="M58" s="24">
        <f t="shared" si="40"/>
        <v>0.65597041801929812</v>
      </c>
      <c r="N58" s="2"/>
      <c r="O58" s="2"/>
      <c r="P58" s="2"/>
      <c r="Q58" s="2"/>
      <c r="R58" s="175"/>
      <c r="S58" s="68"/>
      <c r="T58" s="2"/>
      <c r="U58" s="56"/>
      <c r="V58" s="56"/>
      <c r="W58" s="109"/>
      <c r="X58" s="117"/>
      <c r="Y58" s="109"/>
      <c r="Z58" s="155">
        <f>Poor!Z58</f>
        <v>0.25</v>
      </c>
      <c r="AA58" s="146">
        <f t="shared" si="47"/>
        <v>5960.9522727272752</v>
      </c>
      <c r="AB58" s="155">
        <f>Poor!AB58</f>
        <v>0.25</v>
      </c>
      <c r="AC58" s="146">
        <f t="shared" si="48"/>
        <v>5960.9522727272752</v>
      </c>
      <c r="AD58" s="155">
        <f>Poor!AD58</f>
        <v>0.25</v>
      </c>
      <c r="AE58" s="146">
        <f t="shared" si="49"/>
        <v>5960.9522727272752</v>
      </c>
      <c r="AF58" s="121">
        <f t="shared" si="41"/>
        <v>0.25</v>
      </c>
      <c r="AG58" s="146">
        <f t="shared" si="43"/>
        <v>5960.9522727272752</v>
      </c>
      <c r="AH58" s="122">
        <f t="shared" si="50"/>
        <v>1</v>
      </c>
      <c r="AI58" s="111">
        <f t="shared" si="50"/>
        <v>23843.809090909101</v>
      </c>
      <c r="AJ58" s="147">
        <f t="shared" si="45"/>
        <v>11921.90454545455</v>
      </c>
      <c r="AK58" s="146">
        <f t="shared" si="46"/>
        <v>11921.90454545455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216">
        <f>IF([1]Summ!C1094="",0,[1]Summ!C1094)</f>
        <v>0</v>
      </c>
      <c r="C59" s="216">
        <f>IF([1]Summ!D1094="",0,[1]Summ!D1094)</f>
        <v>0</v>
      </c>
      <c r="D59" s="38">
        <f t="shared" si="34"/>
        <v>0</v>
      </c>
      <c r="E59" s="75">
        <f>Poor!E59</f>
        <v>1</v>
      </c>
      <c r="F59" s="75">
        <f>Poor!F59</f>
        <v>1.05</v>
      </c>
      <c r="G59" s="22">
        <f t="shared" si="42"/>
        <v>1.1200000000000001</v>
      </c>
      <c r="H59" s="24">
        <f t="shared" si="35"/>
        <v>1.05</v>
      </c>
      <c r="I59" s="39">
        <f t="shared" si="36"/>
        <v>0</v>
      </c>
      <c r="J59" s="38">
        <f t="shared" si="37"/>
        <v>0</v>
      </c>
      <c r="K59" s="40">
        <f t="shared" si="38"/>
        <v>0</v>
      </c>
      <c r="L59" s="22">
        <f t="shared" si="39"/>
        <v>0</v>
      </c>
      <c r="M59" s="24">
        <f t="shared" si="40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09"/>
      <c r="X59" s="117"/>
      <c r="Y59" s="109"/>
      <c r="Z59" s="155">
        <f>Poor!Z59</f>
        <v>0.25</v>
      </c>
      <c r="AA59" s="146">
        <f t="shared" si="47"/>
        <v>0</v>
      </c>
      <c r="AB59" s="155">
        <f>Poor!AB59</f>
        <v>0.25</v>
      </c>
      <c r="AC59" s="146">
        <f t="shared" si="48"/>
        <v>0</v>
      </c>
      <c r="AD59" s="155">
        <f>Poor!AD59</f>
        <v>0.25</v>
      </c>
      <c r="AE59" s="146">
        <f t="shared" si="49"/>
        <v>0</v>
      </c>
      <c r="AF59" s="121">
        <f t="shared" si="41"/>
        <v>0.25</v>
      </c>
      <c r="AG59" s="146">
        <f t="shared" si="43"/>
        <v>0</v>
      </c>
      <c r="AH59" s="122">
        <f t="shared" si="50"/>
        <v>1</v>
      </c>
      <c r="AI59" s="111">
        <f t="shared" si="50"/>
        <v>0</v>
      </c>
      <c r="AJ59" s="147">
        <f t="shared" si="45"/>
        <v>0</v>
      </c>
      <c r="AK59" s="146">
        <f t="shared" si="4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34"/>
        <v>0</v>
      </c>
      <c r="E60" s="75">
        <f>Poor!E60</f>
        <v>1</v>
      </c>
      <c r="F60" s="75">
        <f>Poor!F60</f>
        <v>1</v>
      </c>
      <c r="G60" s="22">
        <f t="shared" si="42"/>
        <v>1.1200000000000001</v>
      </c>
      <c r="H60" s="24">
        <f t="shared" si="35"/>
        <v>1</v>
      </c>
      <c r="I60" s="39">
        <f t="shared" si="36"/>
        <v>0</v>
      </c>
      <c r="J60" s="38">
        <f t="shared" si="37"/>
        <v>0</v>
      </c>
      <c r="K60" s="40">
        <f t="shared" si="38"/>
        <v>0</v>
      </c>
      <c r="L60" s="22">
        <f t="shared" si="39"/>
        <v>0</v>
      </c>
      <c r="M60" s="24">
        <f t="shared" si="40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09"/>
      <c r="X60" s="117"/>
      <c r="Y60" s="109"/>
      <c r="Z60" s="155">
        <f>Poor!Z60</f>
        <v>0.25</v>
      </c>
      <c r="AA60" s="146">
        <f t="shared" si="47"/>
        <v>0</v>
      </c>
      <c r="AB60" s="155">
        <f>Poor!AB60</f>
        <v>0.25</v>
      </c>
      <c r="AC60" s="146">
        <f t="shared" si="48"/>
        <v>0</v>
      </c>
      <c r="AD60" s="155">
        <f>Poor!AD60</f>
        <v>0.25</v>
      </c>
      <c r="AE60" s="146">
        <f t="shared" si="49"/>
        <v>0</v>
      </c>
      <c r="AF60" s="121">
        <f t="shared" si="41"/>
        <v>0.25</v>
      </c>
      <c r="AG60" s="146">
        <f t="shared" si="43"/>
        <v>0</v>
      </c>
      <c r="AH60" s="122">
        <f t="shared" si="50"/>
        <v>1</v>
      </c>
      <c r="AI60" s="111">
        <f t="shared" si="50"/>
        <v>0</v>
      </c>
      <c r="AJ60" s="147">
        <f t="shared" si="45"/>
        <v>0</v>
      </c>
      <c r="AK60" s="146">
        <f t="shared" si="4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34"/>
        <v>0</v>
      </c>
      <c r="E61" s="75">
        <f>Poor!E61</f>
        <v>1</v>
      </c>
      <c r="F61" s="75">
        <f>Poor!F61</f>
        <v>1</v>
      </c>
      <c r="G61" s="22">
        <f t="shared" si="42"/>
        <v>1.1200000000000001</v>
      </c>
      <c r="H61" s="24">
        <f t="shared" si="35"/>
        <v>1</v>
      </c>
      <c r="I61" s="39">
        <f t="shared" si="36"/>
        <v>0</v>
      </c>
      <c r="J61" s="38">
        <f t="shared" si="37"/>
        <v>0</v>
      </c>
      <c r="K61" s="40">
        <f t="shared" si="38"/>
        <v>0</v>
      </c>
      <c r="L61" s="22">
        <f t="shared" si="39"/>
        <v>0</v>
      </c>
      <c r="M61" s="24">
        <f t="shared" si="40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09"/>
      <c r="X61" s="117"/>
      <c r="Y61" s="109"/>
      <c r="Z61" s="155">
        <f>Poor!Z61</f>
        <v>0.25</v>
      </c>
      <c r="AA61" s="148">
        <f t="shared" si="47"/>
        <v>0</v>
      </c>
      <c r="AB61" s="155">
        <f>Poor!AB61</f>
        <v>0.25</v>
      </c>
      <c r="AC61" s="148">
        <f t="shared" si="48"/>
        <v>0</v>
      </c>
      <c r="AD61" s="155">
        <f>Poor!AD61</f>
        <v>0.25</v>
      </c>
      <c r="AE61" s="148">
        <f t="shared" si="49"/>
        <v>0</v>
      </c>
      <c r="AF61" s="149">
        <f t="shared" si="41"/>
        <v>0.25</v>
      </c>
      <c r="AG61" s="148">
        <f t="shared" si="43"/>
        <v>0</v>
      </c>
      <c r="AH61" s="122">
        <f t="shared" si="50"/>
        <v>1</v>
      </c>
      <c r="AI61" s="111">
        <f t="shared" si="50"/>
        <v>0</v>
      </c>
      <c r="AJ61" s="150">
        <f t="shared" si="45"/>
        <v>0</v>
      </c>
      <c r="AK61" s="148">
        <f t="shared" si="4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39" t="s">
        <v>32</v>
      </c>
      <c r="B62" s="39">
        <f>SUM(B39:B61)</f>
        <v>36348.909090909088</v>
      </c>
      <c r="C62" s="39">
        <f>SUM(C39:C61)</f>
        <v>-678</v>
      </c>
      <c r="D62" s="42">
        <f>SUM(D39:D61)</f>
        <v>35670.909090909088</v>
      </c>
      <c r="E62" s="32"/>
      <c r="F62" s="32"/>
      <c r="G62" s="32"/>
      <c r="H62" s="31"/>
      <c r="I62" s="39">
        <f>SUM(I39:I61)</f>
        <v>39106.939090909094</v>
      </c>
      <c r="J62" s="39">
        <f>SUM(J39:J61)</f>
        <v>39566.885394539851</v>
      </c>
      <c r="K62" s="40">
        <f>SUM(K39:K61)</f>
        <v>1</v>
      </c>
      <c r="L62" s="22">
        <f>SUM(L39:L61)</f>
        <v>1.0883941246204714</v>
      </c>
      <c r="M62" s="24">
        <f>SUM(M39:M61)</f>
        <v>1.0885302030820942</v>
      </c>
      <c r="N62" s="2"/>
      <c r="O62" s="2"/>
      <c r="P62" s="2"/>
      <c r="Q62" s="2"/>
      <c r="R62" s="2"/>
      <c r="S62" s="2"/>
      <c r="T62" s="2"/>
      <c r="U62" s="56"/>
      <c r="V62" s="56"/>
      <c r="W62" s="109"/>
      <c r="X62" s="151"/>
      <c r="Y62" s="109"/>
      <c r="Z62" s="136"/>
      <c r="AA62" s="152">
        <f>SUM(AA39:AA61)</f>
        <v>9891.7213486349629</v>
      </c>
      <c r="AB62" s="136"/>
      <c r="AC62" s="152">
        <f>SUM(AC39:AC61)</f>
        <v>9891.7213486349629</v>
      </c>
      <c r="AD62" s="136"/>
      <c r="AE62" s="152">
        <f>SUM(AE39:AE61)</f>
        <v>9891.7213486349629</v>
      </c>
      <c r="AF62" s="136"/>
      <c r="AG62" s="152">
        <f>SUM(AG39:AG61)</f>
        <v>9891.7213486349629</v>
      </c>
      <c r="AH62" s="136"/>
      <c r="AI62" s="152">
        <f>SUM(AI39:AI61)</f>
        <v>39566.885394539851</v>
      </c>
      <c r="AJ62" s="152">
        <f>SUM(AJ39:AJ61)</f>
        <v>19783.442697269926</v>
      </c>
      <c r="AK62" s="152">
        <f>SUM(AK39:AK61)</f>
        <v>19783.442697269926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3.5" customHeight="1">
      <c r="A63" s="78"/>
      <c r="B63" s="78"/>
      <c r="C63" s="78"/>
      <c r="D63" s="44"/>
      <c r="E63" s="14"/>
      <c r="F63" s="14"/>
      <c r="G63" s="14"/>
      <c r="H63" s="44"/>
      <c r="I63" s="14"/>
      <c r="J63" s="44"/>
      <c r="K63" s="45"/>
      <c r="L63" s="11"/>
      <c r="M63" s="10"/>
      <c r="N63" s="2"/>
      <c r="O63" s="2"/>
      <c r="P63" s="2"/>
      <c r="Q63" s="2"/>
      <c r="R63" s="2"/>
      <c r="S63" s="2"/>
      <c r="T63" s="2"/>
      <c r="U63" s="56"/>
      <c r="V63" s="56"/>
      <c r="W63" s="109"/>
      <c r="X63" s="117"/>
      <c r="Y63" s="109"/>
      <c r="Z63" s="142"/>
      <c r="AA63" s="153"/>
      <c r="AB63" s="142"/>
      <c r="AC63" s="153"/>
      <c r="AD63" s="142"/>
      <c r="AE63" s="153"/>
      <c r="AF63" s="142"/>
      <c r="AG63" s="153"/>
      <c r="AH63" s="142"/>
      <c r="AI63" s="153"/>
      <c r="AJ63" s="142"/>
      <c r="AK63" s="143"/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5.75" customHeight="1">
      <c r="A64" s="73" t="s">
        <v>54</v>
      </c>
      <c r="B64" s="39"/>
      <c r="C64" s="39"/>
      <c r="D64" s="38"/>
      <c r="E64" s="32"/>
      <c r="F64" s="32"/>
      <c r="G64" s="32"/>
      <c r="H64" s="31"/>
      <c r="I64" s="47"/>
      <c r="J64" s="48"/>
      <c r="K64" s="34" t="s">
        <v>34</v>
      </c>
      <c r="L64" s="2"/>
      <c r="M64" s="31"/>
      <c r="N64" s="2"/>
      <c r="O64" s="2"/>
      <c r="P64" s="2"/>
      <c r="Q64" s="2"/>
      <c r="R64" s="2"/>
      <c r="S64" s="2"/>
      <c r="T64" s="2"/>
      <c r="U64" s="56"/>
      <c r="V64" s="56"/>
      <c r="W64" s="109"/>
      <c r="X64" s="117"/>
      <c r="Y64" s="109"/>
      <c r="Z64" s="144"/>
      <c r="AA64" s="146"/>
      <c r="AB64" s="144"/>
      <c r="AC64" s="146"/>
      <c r="AD64" s="144"/>
      <c r="AE64" s="146"/>
      <c r="AF64" s="144"/>
      <c r="AG64" s="146"/>
      <c r="AH64" s="144"/>
      <c r="AI64" s="146"/>
      <c r="AJ64" s="144"/>
      <c r="AK64" s="145"/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79"/>
      <c r="B65" s="80" t="s">
        <v>7</v>
      </c>
      <c r="C65" s="39"/>
      <c r="D65" s="50"/>
      <c r="E65" s="19" t="s">
        <v>10</v>
      </c>
      <c r="F65" s="2" t="s">
        <v>28</v>
      </c>
      <c r="G65" s="2"/>
      <c r="H65" s="16" t="s">
        <v>12</v>
      </c>
      <c r="I65" s="19" t="s">
        <v>13</v>
      </c>
      <c r="J65" s="16" t="s">
        <v>14</v>
      </c>
      <c r="K65" s="37" t="s">
        <v>7</v>
      </c>
      <c r="L65" s="19" t="s">
        <v>15</v>
      </c>
      <c r="M65" s="16" t="s">
        <v>14</v>
      </c>
      <c r="N65" s="2"/>
      <c r="O65" s="2"/>
      <c r="P65" s="2"/>
      <c r="Q65" s="2"/>
      <c r="R65" s="2"/>
      <c r="S65" s="2"/>
      <c r="T65" s="2"/>
      <c r="U65" s="56"/>
      <c r="V65" s="56"/>
      <c r="W65" s="111"/>
      <c r="X65" s="117"/>
      <c r="Y65" s="109"/>
      <c r="Z65" s="144"/>
      <c r="AA65" s="146"/>
      <c r="AB65" s="144"/>
      <c r="AC65" s="146"/>
      <c r="AD65" s="144"/>
      <c r="AE65" s="146"/>
      <c r="AF65" s="144"/>
      <c r="AG65" s="146"/>
      <c r="AH65" s="144"/>
      <c r="AI65" s="146"/>
      <c r="AJ65" s="144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30</v>
      </c>
      <c r="B66" s="80" t="s">
        <v>35</v>
      </c>
      <c r="C66" s="39"/>
      <c r="D66" s="38"/>
      <c r="E66" s="19" t="s">
        <v>18</v>
      </c>
      <c r="F66" s="2" t="s">
        <v>31</v>
      </c>
      <c r="G66" s="2"/>
      <c r="H66" s="16" t="s">
        <v>18</v>
      </c>
      <c r="I66" s="19" t="s">
        <v>35</v>
      </c>
      <c r="J66" s="16" t="s">
        <v>35</v>
      </c>
      <c r="K66" s="37" t="s">
        <v>35</v>
      </c>
      <c r="L66" s="19" t="s">
        <v>19</v>
      </c>
      <c r="M66" s="16" t="s">
        <v>35</v>
      </c>
      <c r="N66" s="2"/>
      <c r="O66" s="2"/>
      <c r="P66" s="2"/>
      <c r="Q66" s="2"/>
      <c r="R66" s="2"/>
      <c r="S66" s="2"/>
      <c r="T66" s="2"/>
      <c r="U66" s="56"/>
      <c r="V66" s="56"/>
      <c r="W66" s="109"/>
      <c r="X66" s="117"/>
      <c r="Y66" s="109"/>
      <c r="Z66" s="144"/>
      <c r="AA66" s="146"/>
      <c r="AB66" s="144"/>
      <c r="AC66" s="146"/>
      <c r="AD66" s="144"/>
      <c r="AE66" s="146"/>
      <c r="AF66" s="144"/>
      <c r="AG66" s="146"/>
      <c r="AH66" s="144"/>
      <c r="AI66" s="146"/>
      <c r="AJ66" s="144"/>
      <c r="AK66" s="145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4" customHeight="1">
      <c r="A67" s="109" t="s">
        <v>131</v>
      </c>
      <c r="B67" s="103">
        <f>SUM([1]Summ!C1031)</f>
        <v>25913.960217524134</v>
      </c>
      <c r="C67" s="39"/>
      <c r="D67" s="38"/>
      <c r="E67" s="75">
        <f>Poor!E67</f>
        <v>1</v>
      </c>
      <c r="F67" s="75">
        <f>Poor!F67</f>
        <v>1.1399999999999999</v>
      </c>
      <c r="G67" s="22"/>
      <c r="H67" s="24">
        <f>(E67*F67)</f>
        <v>1.1399999999999999</v>
      </c>
      <c r="I67" s="39">
        <f>I116*I$80</f>
        <v>29541.914647977505</v>
      </c>
      <c r="J67" s="51">
        <f>J116*I$80</f>
        <v>29541.914647977505</v>
      </c>
      <c r="K67" s="40">
        <f>B67/B$73</f>
        <v>0.71292263965097236</v>
      </c>
      <c r="L67" s="22">
        <f>(L116*G$39*F$9/F$7)/B$122</f>
        <v>0.8127318092021083</v>
      </c>
      <c r="M67" s="24">
        <f>J67/B$73</f>
        <v>0.8127318092021083</v>
      </c>
      <c r="N67" s="2"/>
      <c r="O67" s="2"/>
      <c r="P67" s="2"/>
      <c r="Q67" s="2"/>
      <c r="R67" s="2"/>
      <c r="S67" s="2"/>
      <c r="T67" s="2"/>
      <c r="U67" s="56"/>
      <c r="V67" s="56"/>
      <c r="W67" s="109"/>
      <c r="X67" s="117"/>
      <c r="Y67" s="109"/>
      <c r="Z67" s="155">
        <f>Poor!Z67</f>
        <v>0.25</v>
      </c>
      <c r="AA67" s="146">
        <f>$J67*Z67</f>
        <v>7385.4786619943761</v>
      </c>
      <c r="AB67" s="155">
        <f>Poor!AB67</f>
        <v>0.25</v>
      </c>
      <c r="AC67" s="146">
        <f>$J67*AB67</f>
        <v>7385.4786619943761</v>
      </c>
      <c r="AD67" s="155">
        <f>Poor!AD67</f>
        <v>0.25</v>
      </c>
      <c r="AE67" s="146">
        <f>$J67*AD67</f>
        <v>7385.4786619943761</v>
      </c>
      <c r="AF67" s="155">
        <f>Poor!AF67</f>
        <v>0.25</v>
      </c>
      <c r="AG67" s="146">
        <f>$J67*AF67</f>
        <v>7385.4786619943761</v>
      </c>
      <c r="AH67" s="154">
        <f>SUM(Z67,AB67,AD67,AF67)</f>
        <v>1</v>
      </c>
      <c r="AI67" s="146">
        <f>SUM(AA67,AC67,AE67,AG67)</f>
        <v>29541.914647977505</v>
      </c>
      <c r="AJ67" s="147">
        <f>(AA67+AC67)</f>
        <v>14770.957323988752</v>
      </c>
      <c r="AK67" s="146">
        <f>(AE67+AG67)</f>
        <v>14770.957323988752</v>
      </c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109" t="s">
        <v>132</v>
      </c>
      <c r="B68" s="103">
        <f>SUM([1]Summ!C1032)</f>
        <v>17178.666666666668</v>
      </c>
      <c r="C68" s="39"/>
      <c r="D68" s="38"/>
      <c r="E68" s="75">
        <f>Poor!E68</f>
        <v>1</v>
      </c>
      <c r="F68" s="75">
        <f>Poor!F68</f>
        <v>1.1100000000000001</v>
      </c>
      <c r="G68" s="22"/>
      <c r="H68" s="24">
        <f t="shared" ref="H68:H70" si="51">(E68*F68)</f>
        <v>1.1100000000000001</v>
      </c>
      <c r="I68" s="39">
        <f t="shared" ref="I68:I69" si="52">I117*I$80</f>
        <v>39106.939090909102</v>
      </c>
      <c r="J68" s="51">
        <f t="shared" ref="J68:J69" si="53">J117*I$80</f>
        <v>0</v>
      </c>
      <c r="K68" s="40">
        <f t="shared" ref="K68:K69" si="54">B68/B$73</f>
        <v>0.47260473825232557</v>
      </c>
      <c r="L68" s="22">
        <f t="shared" ref="L68:L69" si="55">(L117*G$39*F$9/F$7)/B$122</f>
        <v>0</v>
      </c>
      <c r="M68" s="24">
        <f t="shared" ref="M68:M69" si="56">J68/B$73</f>
        <v>0</v>
      </c>
      <c r="N68" s="2"/>
      <c r="O68" s="2"/>
      <c r="P68" s="2"/>
      <c r="Q68" s="2"/>
      <c r="R68" s="2"/>
      <c r="S68" s="2"/>
      <c r="T68" s="2"/>
      <c r="U68" s="56"/>
      <c r="V68" s="56"/>
      <c r="W68" s="109"/>
      <c r="X68" s="117"/>
      <c r="Y68" s="109"/>
      <c r="Z68" s="155"/>
      <c r="AA68" s="146"/>
      <c r="AB68" s="155"/>
      <c r="AC68" s="146"/>
      <c r="AD68" s="155"/>
      <c r="AE68" s="146"/>
      <c r="AF68" s="155"/>
      <c r="AG68" s="146"/>
      <c r="AH68" s="154"/>
      <c r="AI68" s="146"/>
      <c r="AJ68" s="147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109" t="s">
        <v>133</v>
      </c>
      <c r="B69" s="103">
        <f>SUM([1]Summ!C1033)</f>
        <v>27744</v>
      </c>
      <c r="C69" s="39"/>
      <c r="D69" s="38"/>
      <c r="E69" s="75">
        <f>Poor!E69</f>
        <v>1</v>
      </c>
      <c r="F69" s="75">
        <f>Poor!F69</f>
        <v>1.1100000000000001</v>
      </c>
      <c r="G69" s="22"/>
      <c r="H69" s="24">
        <f t="shared" si="51"/>
        <v>1.1100000000000001</v>
      </c>
      <c r="I69" s="39">
        <f t="shared" si="52"/>
        <v>0</v>
      </c>
      <c r="J69" s="51">
        <f t="shared" si="53"/>
        <v>0</v>
      </c>
      <c r="K69" s="40">
        <f t="shared" si="54"/>
        <v>0.76326912399521807</v>
      </c>
      <c r="L69" s="22">
        <f t="shared" si="55"/>
        <v>0</v>
      </c>
      <c r="M69" s="24">
        <f t="shared" si="56"/>
        <v>0</v>
      </c>
      <c r="N69" s="2"/>
      <c r="O69" s="2"/>
      <c r="P69" s="2"/>
      <c r="Q69" s="2"/>
      <c r="R69" s="2"/>
      <c r="S69" s="2"/>
      <c r="T69" s="2"/>
      <c r="U69" s="56"/>
      <c r="V69" s="56"/>
      <c r="W69" s="109"/>
      <c r="X69" s="117"/>
      <c r="Y69" s="109"/>
      <c r="Z69" s="155"/>
      <c r="AA69" s="146"/>
      <c r="AB69" s="155"/>
      <c r="AC69" s="146"/>
      <c r="AD69" s="155"/>
      <c r="AE69" s="146"/>
      <c r="AF69" s="155"/>
      <c r="AG69" s="146"/>
      <c r="AH69" s="154"/>
      <c r="AI69" s="146"/>
      <c r="AJ69" s="147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3.5" customHeight="1">
      <c r="A70" s="109" t="s">
        <v>134</v>
      </c>
      <c r="B70" s="103">
        <f>SUM([1]Summ!C1034)</f>
        <v>1290</v>
      </c>
      <c r="C70" s="39"/>
      <c r="D70" s="38"/>
      <c r="E70" s="75">
        <f>Poor!E70</f>
        <v>1</v>
      </c>
      <c r="F70" s="75">
        <f>Poor!F70</f>
        <v>1.1100000000000001</v>
      </c>
      <c r="G70" s="22"/>
      <c r="H70" s="24">
        <f t="shared" si="51"/>
        <v>1.1100000000000001</v>
      </c>
      <c r="I70" s="39">
        <f>I119*I$80</f>
        <v>0</v>
      </c>
      <c r="J70" s="51">
        <f>J119*I$80</f>
        <v>1431.9000000000003</v>
      </c>
      <c r="K70" s="40">
        <f>B70/B$73</f>
        <v>3.5489373196144439E-2</v>
      </c>
      <c r="L70" s="22">
        <f>(L119*G$39*F$9/F$7)/B$122</f>
        <v>3.4078210751629222E-2</v>
      </c>
      <c r="M70" s="24">
        <f>J70/B$73</f>
        <v>3.9393204247720338E-2</v>
      </c>
      <c r="O70" s="2"/>
      <c r="P70" s="2"/>
      <c r="Q70" s="2"/>
      <c r="R70" s="2"/>
      <c r="S70" s="2"/>
      <c r="T70" s="2"/>
      <c r="U70" s="56"/>
      <c r="V70" s="56"/>
      <c r="W70" s="109"/>
      <c r="X70" s="117"/>
      <c r="Y70" s="109"/>
      <c r="Z70" s="155">
        <f>Poor!Z70</f>
        <v>0.09</v>
      </c>
      <c r="AA70" s="146">
        <f>$H$70*$B$70*Z70</f>
        <v>128.87100000000001</v>
      </c>
      <c r="AB70" s="155">
        <f>Poor!AB70</f>
        <v>0.09</v>
      </c>
      <c r="AC70" s="146">
        <f>$H$70*$B$70*AB70</f>
        <v>128.87100000000001</v>
      </c>
      <c r="AD70" s="155">
        <f>Poor!AD70</f>
        <v>0.23</v>
      </c>
      <c r="AE70" s="146">
        <f>$H$70*$B$70*AD70</f>
        <v>329.33700000000005</v>
      </c>
      <c r="AF70" s="155">
        <f>Poor!AF70</f>
        <v>0.59</v>
      </c>
      <c r="AG70" s="146">
        <f>$H$70*$B$70*AF70</f>
        <v>844.82100000000003</v>
      </c>
      <c r="AH70" s="154">
        <f>SUM(Z70,AB70,AD70,AF70)</f>
        <v>1</v>
      </c>
      <c r="AI70" s="146">
        <f>SUM(AA70,AC70,AE70,AG70)</f>
        <v>1431.9</v>
      </c>
      <c r="AJ70" s="147">
        <f>(AA70+AC70)</f>
        <v>257.74200000000002</v>
      </c>
      <c r="AK70" s="146">
        <f>(AE70+AG70)</f>
        <v>1174.1580000000001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" t="s">
        <v>135</v>
      </c>
      <c r="B71" s="81">
        <f>B120*B80</f>
        <v>3840.0000000000005</v>
      </c>
      <c r="C71" s="39"/>
      <c r="D71" s="38"/>
      <c r="E71" s="32"/>
      <c r="F71" s="32"/>
      <c r="G71" s="32"/>
      <c r="H71" s="31"/>
      <c r="I71" s="39">
        <f>I120*I$80</f>
        <v>9565.0244429315935</v>
      </c>
      <c r="J71" s="51">
        <f>J120*I$80</f>
        <v>4517.4252546946664</v>
      </c>
      <c r="K71" s="40">
        <f>B71/B$73</f>
        <v>0.10564278532805789</v>
      </c>
      <c r="L71" s="22">
        <f>(L120*G$39*F$9/F$7)/B$122</f>
        <v>0.10144211572578</v>
      </c>
      <c r="M71" s="24">
        <f>J71/B$73</f>
        <v>0.12427952771282703</v>
      </c>
      <c r="O71" s="2"/>
      <c r="P71" s="2"/>
      <c r="Q71" s="2"/>
      <c r="R71" s="2"/>
      <c r="S71" s="2"/>
      <c r="T71" s="2"/>
      <c r="U71" s="56"/>
      <c r="V71" s="56"/>
      <c r="W71" s="109"/>
      <c r="X71" s="117"/>
      <c r="Y71" s="109"/>
      <c r="Z71" s="155"/>
      <c r="AA71" s="146">
        <f>AA32*$I$80/4</f>
        <v>-4976.4310410215967</v>
      </c>
      <c r="AB71" s="155"/>
      <c r="AC71" s="146">
        <f>AC32*$I$80/4</f>
        <v>-5023.5021239040261</v>
      </c>
      <c r="AD71" s="155"/>
      <c r="AE71" s="146">
        <f>AE32*$I$80/4</f>
        <v>-4998.7701134559748</v>
      </c>
      <c r="AF71" s="155"/>
      <c r="AG71" s="146">
        <f>AG32*$I$80/4</f>
        <v>18442.388658951131</v>
      </c>
      <c r="AH71" s="154"/>
      <c r="AI71" s="146">
        <f>SUM(AA71,AC71,AE71,AG71)</f>
        <v>3443.6853805695318</v>
      </c>
      <c r="AJ71" s="147">
        <f>(AA71+AC71)</f>
        <v>-9999.9331649256237</v>
      </c>
      <c r="AK71" s="146">
        <f>(AE71+AG71)</f>
        <v>13443.618545495156</v>
      </c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" t="s">
        <v>55</v>
      </c>
      <c r="B72" s="81">
        <f>B121*B80</f>
        <v>5304.9488733849585</v>
      </c>
      <c r="C72" s="39"/>
      <c r="D72" s="38"/>
      <c r="E72" s="32"/>
      <c r="F72" s="32"/>
      <c r="G72" s="32"/>
      <c r="H72" s="31"/>
      <c r="I72" s="47"/>
      <c r="J72" s="51">
        <f>J121*I$80</f>
        <v>4075.6454918676727</v>
      </c>
      <c r="K72" s="40">
        <f>B72/B$73</f>
        <v>0.14594520182482543</v>
      </c>
      <c r="L72" s="22">
        <f>(L121*G$39*F$9/F$7)/B$122</f>
        <v>0.14014198894095395</v>
      </c>
      <c r="M72" s="24">
        <f>J72/B$73</f>
        <v>0.11212566191943837</v>
      </c>
      <c r="O72" s="2"/>
      <c r="P72" s="2"/>
      <c r="Q72" s="2"/>
      <c r="R72" s="2"/>
      <c r="S72" s="2"/>
      <c r="T72" s="2"/>
      <c r="U72" s="56"/>
      <c r="V72" s="56"/>
      <c r="W72" s="109"/>
      <c r="X72" s="156"/>
      <c r="Y72" s="160" t="s">
        <v>104</v>
      </c>
      <c r="Z72" s="157"/>
      <c r="AA72" s="148">
        <f>AA76-AA71</f>
        <v>7482.6737276621834</v>
      </c>
      <c r="AB72" s="157"/>
      <c r="AC72" s="148">
        <f>AA72+AC62-SUM(AC67,AC71)</f>
        <v>15012.418538206797</v>
      </c>
      <c r="AD72" s="157"/>
      <c r="AE72" s="148">
        <f>AC72+AE62-SUM(AE67,AE71)</f>
        <v>22517.431338303359</v>
      </c>
      <c r="AF72" s="157"/>
      <c r="AG72" s="148">
        <f>IF(SUM(AG6:AG31)+((AG62-AG67-$J$72)*4/I$80)&lt;1,0,AG62-AG67-$J$72-(1-SUM(AG6:AG31))*I$80/4)</f>
        <v>0</v>
      </c>
      <c r="AH72" s="133"/>
      <c r="AI72" s="148">
        <f>AI73-SUM(AI67,AI71)</f>
        <v>6581.2853659928151</v>
      </c>
      <c r="AJ72" s="150">
        <f>AJ73-SUM(AJ67,AJ71)</f>
        <v>15012.418538206797</v>
      </c>
      <c r="AK72" s="148">
        <f>AJ72+AK73-SUM(AK67,AK71)</f>
        <v>6581.2853659928151</v>
      </c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4" customHeight="1" thickBot="1">
      <c r="A73" s="1" t="s">
        <v>32</v>
      </c>
      <c r="B73" s="81">
        <f>B62</f>
        <v>36348.909090909088</v>
      </c>
      <c r="C73" s="39"/>
      <c r="D73" s="38"/>
      <c r="E73" s="32"/>
      <c r="F73" s="32"/>
      <c r="G73" s="32"/>
      <c r="H73" s="31"/>
      <c r="I73" s="39">
        <f>I122*I$80</f>
        <v>39106.939090909102</v>
      </c>
      <c r="J73" s="51">
        <f>J122*I$80</f>
        <v>39566.885394539844</v>
      </c>
      <c r="K73" s="40">
        <f>SUM(K67:K72)</f>
        <v>2.2358738622475438</v>
      </c>
      <c r="L73" s="22">
        <f>SUM(L67:L72)</f>
        <v>1.0883941246204714</v>
      </c>
      <c r="M73" s="24">
        <f>SUM(M67:M72)</f>
        <v>1.088530203082094</v>
      </c>
      <c r="O73" s="2"/>
      <c r="P73" s="2"/>
      <c r="Q73" s="2"/>
      <c r="R73" s="2"/>
      <c r="S73" s="2"/>
      <c r="T73" s="2"/>
      <c r="U73" s="56"/>
      <c r="V73" s="56"/>
      <c r="W73" s="109"/>
      <c r="X73" s="189"/>
      <c r="Y73" s="189"/>
      <c r="Z73" s="136"/>
      <c r="AA73" s="153">
        <f>AA62</f>
        <v>9891.7213486349629</v>
      </c>
      <c r="AB73" s="136"/>
      <c r="AC73" s="152">
        <f>AC62</f>
        <v>9891.7213486349629</v>
      </c>
      <c r="AD73" s="136"/>
      <c r="AE73" s="152">
        <f>AE62</f>
        <v>9891.7213486349629</v>
      </c>
      <c r="AF73" s="136"/>
      <c r="AG73" s="152">
        <f>AG62</f>
        <v>9891.7213486349629</v>
      </c>
      <c r="AH73" s="136"/>
      <c r="AI73" s="152">
        <f>SUM(AA73,AC73,AE73,AG73)</f>
        <v>39566.885394539851</v>
      </c>
      <c r="AJ73" s="153">
        <f>SUM(AA73,AC73)</f>
        <v>19783.442697269926</v>
      </c>
      <c r="AK73" s="153">
        <f>SUM(AE73,AG73)</f>
        <v>19783.442697269926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 thickBot="1">
      <c r="A74" s="98" t="s">
        <v>36</v>
      </c>
      <c r="B74" s="81"/>
      <c r="C74" s="39"/>
      <c r="D74" s="38"/>
      <c r="E74" s="32"/>
      <c r="F74" s="32"/>
      <c r="G74" s="32"/>
      <c r="H74" s="31"/>
      <c r="I74" s="39">
        <f>I123*I$80</f>
        <v>1431.9000000000037</v>
      </c>
      <c r="J74" s="99">
        <f>J123*I$80</f>
        <v>0</v>
      </c>
      <c r="K74" s="40"/>
      <c r="L74" s="22">
        <f>-(L123*G$39*F$9/F$7)/B$122</f>
        <v>-5.3149934960912068E-3</v>
      </c>
      <c r="M74" s="24">
        <f>-J74/B$73</f>
        <v>0</v>
      </c>
      <c r="O74" s="2"/>
      <c r="P74" s="2"/>
      <c r="Q74" s="2"/>
      <c r="R74" s="2"/>
      <c r="S74" s="2"/>
      <c r="T74" s="2"/>
      <c r="U74" s="56"/>
      <c r="V74" s="56"/>
      <c r="W74" s="109"/>
      <c r="X74" s="109"/>
      <c r="Y74" s="160" t="s">
        <v>102</v>
      </c>
      <c r="Z74" s="158"/>
      <c r="AA74" s="110">
        <f>AA33*$I$80/4</f>
        <v>0</v>
      </c>
      <c r="AB74" s="111"/>
      <c r="AC74" s="110">
        <f>AC33*$I$80/4</f>
        <v>0</v>
      </c>
      <c r="AD74" s="111"/>
      <c r="AE74" s="110">
        <f>AE33*$I$80/4</f>
        <v>0</v>
      </c>
      <c r="AF74" s="111"/>
      <c r="AG74" s="110">
        <f>AG33*$I$80/4</f>
        <v>0</v>
      </c>
      <c r="AH74" s="109"/>
      <c r="AI74" s="153">
        <f>SUM(AA74,AC74,AE74,AG74)</f>
        <v>0</v>
      </c>
      <c r="AJ74" s="152">
        <f>SUM(AA74,AC74)</f>
        <v>0</v>
      </c>
      <c r="AK74" s="159">
        <f>SUM(AE74,AG74)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82" t="s">
        <v>37</v>
      </c>
      <c r="B75" s="39"/>
      <c r="C75" s="39"/>
      <c r="D75" s="38"/>
      <c r="E75" s="32"/>
      <c r="F75" s="32"/>
      <c r="G75" s="32"/>
      <c r="H75" s="31"/>
      <c r="I75" s="47"/>
      <c r="J75" s="48"/>
      <c r="K75" s="32"/>
      <c r="L75" s="32"/>
      <c r="M75" s="48"/>
      <c r="N75" s="2"/>
      <c r="O75" s="2"/>
      <c r="P75" s="2"/>
      <c r="Q75" s="2"/>
      <c r="R75" s="2"/>
      <c r="S75" s="2"/>
      <c r="T75" s="2"/>
      <c r="U75" s="56"/>
      <c r="V75" s="56"/>
      <c r="W75" s="109"/>
      <c r="X75" s="109"/>
      <c r="Y75" s="160" t="s">
        <v>103</v>
      </c>
      <c r="Z75" s="109"/>
      <c r="AA75" s="111">
        <f>IF(SUM(AG6:AG31)+((AG62-AG67-$J$72)*4/I$80)&lt;1,0,AG62-AG67-$J$72-(1-SUM(AG6:AG31))*I$80/4)</f>
        <v>0</v>
      </c>
      <c r="AB75" s="111"/>
      <c r="AC75" s="111">
        <f>IF(AA72&lt;0,0,AA72)</f>
        <v>7482.6737276621834</v>
      </c>
      <c r="AD75" s="111"/>
      <c r="AE75" s="111">
        <f>AC72</f>
        <v>15012.418538206797</v>
      </c>
      <c r="AF75" s="111"/>
      <c r="AG75" s="111">
        <f>AE72</f>
        <v>22517.431338303359</v>
      </c>
      <c r="AH75" s="109"/>
      <c r="AI75" s="145"/>
      <c r="AJ75" s="109"/>
      <c r="AK75" s="145"/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>
      <c r="A76" s="39" t="s">
        <v>38</v>
      </c>
      <c r="B76" s="233" t="str">
        <f>[1]Summ!C1037</f>
        <v>maize</v>
      </c>
      <c r="C76" s="39"/>
      <c r="D76" s="38"/>
      <c r="E76" s="32"/>
      <c r="F76" s="32"/>
      <c r="G76" s="32"/>
      <c r="H76" s="31"/>
      <c r="I76" s="47"/>
      <c r="J76" s="48"/>
      <c r="K76" s="32"/>
      <c r="L76" s="32"/>
      <c r="M76" s="48"/>
      <c r="N76" s="32"/>
      <c r="O76" s="2"/>
      <c r="P76" s="2"/>
      <c r="Q76" s="2"/>
      <c r="R76" s="2"/>
      <c r="S76" s="2"/>
      <c r="T76" s="2"/>
      <c r="U76" s="56"/>
      <c r="V76" s="56"/>
      <c r="W76" s="109"/>
      <c r="X76" s="109"/>
      <c r="Y76" s="160" t="s">
        <v>63</v>
      </c>
      <c r="Z76" s="109"/>
      <c r="AA76" s="111">
        <f>AA62-AA67+IF(SUM(AG6:AG31)+((AG62-AG67-$J$72)*4/I$80)&lt;1,0,AG62-AG67-$J$72-(1-SUM(AG6:AG31))*I$80/4)</f>
        <v>2506.2426866405867</v>
      </c>
      <c r="AB76" s="111"/>
      <c r="AC76" s="111">
        <f>AA76-AA71+AC62-AC67</f>
        <v>9988.9164143027701</v>
      </c>
      <c r="AD76" s="111"/>
      <c r="AE76" s="111">
        <f>AC76-AC71+AE62-AE67</f>
        <v>17518.661224847383</v>
      </c>
      <c r="AF76" s="111"/>
      <c r="AG76" s="111">
        <f>AE76-AE71+AG62-AG67</f>
        <v>25023.674024943946</v>
      </c>
      <c r="AH76" s="109"/>
      <c r="AI76" s="145"/>
      <c r="AJ76" s="109"/>
      <c r="AK76" s="145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39" t="s">
        <v>39</v>
      </c>
      <c r="B77" s="104">
        <f>[1]Summ!C1038</f>
        <v>0.58061985920496251</v>
      </c>
      <c r="C77" s="39"/>
      <c r="D77" s="38"/>
      <c r="E77" s="32"/>
      <c r="F77" s="32"/>
      <c r="G77" s="32"/>
      <c r="H77" s="31"/>
      <c r="I77" s="47"/>
      <c r="J77" s="48"/>
      <c r="K77" s="32"/>
      <c r="L77" s="32"/>
      <c r="M77" s="48"/>
      <c r="N77" s="32"/>
      <c r="O77" s="2"/>
      <c r="P77" s="2"/>
      <c r="Q77" s="2"/>
      <c r="R77" s="2"/>
      <c r="S77" s="2"/>
      <c r="T77" s="2"/>
      <c r="U77" s="56"/>
      <c r="V77" s="56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45"/>
      <c r="AJ77" s="109"/>
      <c r="AK77" s="145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39" t="s">
        <v>40</v>
      </c>
      <c r="B78" s="233">
        <f>[1]Summ!C1039</f>
        <v>8</v>
      </c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32"/>
      <c r="O78" s="2"/>
      <c r="P78" s="2"/>
      <c r="Q78" s="2"/>
      <c r="R78" s="2"/>
      <c r="S78" s="2"/>
      <c r="T78" s="2"/>
      <c r="U78" s="56"/>
      <c r="V78" s="56"/>
      <c r="W78" s="109"/>
      <c r="X78" s="109"/>
      <c r="Y78" s="109"/>
      <c r="Z78" s="142" t="s">
        <v>64</v>
      </c>
      <c r="AA78" s="158"/>
      <c r="AB78" s="158"/>
      <c r="AC78" s="158"/>
      <c r="AD78" s="158"/>
      <c r="AE78" s="158"/>
      <c r="AF78" s="158"/>
      <c r="AG78" s="143"/>
      <c r="AH78" s="113" t="s">
        <v>65</v>
      </c>
      <c r="AI78" s="145"/>
      <c r="AJ78" s="109"/>
      <c r="AK78" s="145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39" t="s">
        <v>41</v>
      </c>
      <c r="B79" s="104">
        <f>[1]Summ!C1040</f>
        <v>4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X79" s="109"/>
      <c r="Y79" s="160" t="s">
        <v>66</v>
      </c>
      <c r="Z79" s="161">
        <f>IF($AH$79=0,0,AA79/$AH$79)</f>
        <v>1</v>
      </c>
      <c r="AA79" s="193">
        <f>Poor!AA79</f>
        <v>4.4800000000000004</v>
      </c>
      <c r="AB79" s="161">
        <f>IF($AH$79=0,0,AC79/$AH$79)</f>
        <v>1</v>
      </c>
      <c r="AC79" s="193">
        <f>Poor!AC79</f>
        <v>4.4800000000000004</v>
      </c>
      <c r="AD79" s="161">
        <f>IF($AH$79=0,0,AE79/$AH$79)</f>
        <v>1</v>
      </c>
      <c r="AE79" s="193">
        <f>Poor!AE79</f>
        <v>4.4800000000000004</v>
      </c>
      <c r="AF79" s="161">
        <f>IF($AH$79=0,0,AG79/$AH$79)</f>
        <v>1</v>
      </c>
      <c r="AG79" s="193">
        <f>Poor!AG79</f>
        <v>4.4800000000000004</v>
      </c>
      <c r="AH79" s="163">
        <f>IF(PRODUCT(AA79,AC79,AE79,AG79)=0,0,SUM(AA79,AC79,AE79,AG79)/4)</f>
        <v>4.4800000000000004</v>
      </c>
      <c r="AI79" s="145"/>
      <c r="AJ79" s="109"/>
      <c r="AK79" s="145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42</v>
      </c>
      <c r="B80" s="39">
        <f>365*B77*B78*B79</f>
        <v>6781.6399555139624</v>
      </c>
      <c r="C80" s="39"/>
      <c r="D80" s="38"/>
      <c r="E80" s="32"/>
      <c r="F80" s="32"/>
      <c r="G80" s="32"/>
      <c r="H80" s="24">
        <f>G$39*F$9/F$7</f>
        <v>1.1200000000000001</v>
      </c>
      <c r="I80" s="39">
        <f xml:space="preserve"> B80*H80</f>
        <v>7595.4367501756387</v>
      </c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X80" s="109"/>
      <c r="Y80" s="160" t="s">
        <v>130</v>
      </c>
      <c r="Z80" s="109"/>
      <c r="AA80" s="164">
        <f>$I$80*Z79/4</f>
        <v>1898.8591875439097</v>
      </c>
      <c r="AB80" s="111"/>
      <c r="AC80" s="164">
        <f>$I$80*AB79/4</f>
        <v>1898.8591875439097</v>
      </c>
      <c r="AD80" s="111"/>
      <c r="AE80" s="164">
        <f>$I$80*AD79/4</f>
        <v>1898.8591875439097</v>
      </c>
      <c r="AF80" s="111"/>
      <c r="AG80" s="164">
        <f>$I$80*AF79/4</f>
        <v>1898.8591875439097</v>
      </c>
      <c r="AH80" s="164">
        <f>SUM(AA80,AC80,AE80,AG80)</f>
        <v>7595.4367501756387</v>
      </c>
      <c r="AI80" s="145"/>
      <c r="AJ80" s="109"/>
      <c r="AK80" s="145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 thickBot="1">
      <c r="A81" s="46" t="s">
        <v>140</v>
      </c>
      <c r="B81" s="238">
        <f>B67+((1-D31)*B80)</f>
        <v>30121.077058256618</v>
      </c>
      <c r="C81" s="46"/>
      <c r="D81" s="239"/>
      <c r="E81" s="64"/>
      <c r="F81" s="64"/>
      <c r="G81" s="64"/>
      <c r="H81" s="240">
        <f>IF(B81=0,0,I81/B81)</f>
        <v>1.1362492378515652</v>
      </c>
      <c r="I81" s="238">
        <f>(B67*H67)+((1-(D31*H31))*I80)</f>
        <v>34225.050850712345</v>
      </c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X81" s="109"/>
      <c r="Y81" s="160"/>
      <c r="Z81" s="109"/>
      <c r="AA81" s="109"/>
      <c r="AB81" s="109"/>
      <c r="AC81" s="109"/>
      <c r="AD81" s="109"/>
      <c r="AE81" s="109"/>
      <c r="AF81" s="109"/>
      <c r="AG81" s="109"/>
      <c r="AH81" s="109"/>
      <c r="AI81" s="145"/>
      <c r="AJ81" s="109"/>
      <c r="AK81" s="145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 thickBot="1">
      <c r="A82" s="39" t="s">
        <v>43</v>
      </c>
      <c r="B82" s="39"/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09"/>
      <c r="Y82" s="160"/>
      <c r="Z82" s="109"/>
      <c r="AA82" s="112"/>
      <c r="AB82" s="109"/>
      <c r="AC82" s="112"/>
      <c r="AD82" s="109"/>
      <c r="AE82" s="112"/>
      <c r="AF82" s="109"/>
      <c r="AG82" s="112"/>
      <c r="AH82" s="109"/>
      <c r="AI82" s="190"/>
      <c r="AJ82" s="191"/>
      <c r="AK82" s="19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105"/>
      <c r="B83" s="106"/>
      <c r="C83" s="39"/>
      <c r="D83" s="38"/>
      <c r="E83" s="32"/>
      <c r="F83" s="32"/>
      <c r="G83" s="32"/>
      <c r="H83" s="31"/>
      <c r="I83" s="47"/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2"/>
      <c r="V83" s="2"/>
      <c r="W83" s="2"/>
      <c r="X83" s="2"/>
      <c r="Y83" s="56"/>
      <c r="Z83" s="56"/>
      <c r="AA83" s="41"/>
      <c r="AB83" s="56"/>
      <c r="AC83" s="41"/>
      <c r="AD83" s="56"/>
      <c r="AE83" s="41"/>
      <c r="AF83" s="56"/>
      <c r="AG83" s="41"/>
      <c r="AH83" s="67"/>
      <c r="AI83" s="67"/>
      <c r="AJ83" s="67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39" t="s">
        <v>123</v>
      </c>
      <c r="B84" s="75">
        <f>[1]Summ!$H$892</f>
        <v>0</v>
      </c>
      <c r="C84" s="14"/>
      <c r="D84" s="12"/>
      <c r="E84" s="14"/>
      <c r="F84" s="14"/>
      <c r="G84" s="14"/>
      <c r="H84" s="12"/>
      <c r="I84" s="14"/>
      <c r="J84" s="12"/>
      <c r="K84" s="14"/>
      <c r="L84" s="14"/>
      <c r="M84" s="10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59"/>
      <c r="Z84" s="56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5.75" customHeight="1">
      <c r="A85" s="73" t="str">
        <f>A36</f>
        <v>Income : Very Poor HHs</v>
      </c>
      <c r="B85" s="2"/>
      <c r="C85" s="2"/>
      <c r="D85" s="31"/>
      <c r="E85" s="2"/>
      <c r="F85" s="2"/>
      <c r="G85" s="2"/>
      <c r="H85" s="17"/>
      <c r="I85" s="2"/>
      <c r="J85" s="33"/>
      <c r="M85" s="57"/>
      <c r="N85" s="58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/>
      <c r="B86" s="19" t="s">
        <v>7</v>
      </c>
      <c r="C86" s="19" t="s">
        <v>8</v>
      </c>
      <c r="D86" s="16" t="s">
        <v>9</v>
      </c>
      <c r="H86" s="16" t="s">
        <v>12</v>
      </c>
      <c r="I86" s="19" t="s">
        <v>13</v>
      </c>
      <c r="J86" s="16" t="s">
        <v>14</v>
      </c>
      <c r="K86" s="19" t="s">
        <v>7</v>
      </c>
      <c r="L86" s="19" t="s">
        <v>15</v>
      </c>
      <c r="M86" s="57" t="str">
        <f t="shared" ref="M86:M111" si="57">(J86)</f>
        <v>Curr.</v>
      </c>
      <c r="N86" s="5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">
        <v>44</v>
      </c>
      <c r="B87" s="19" t="s">
        <v>16</v>
      </c>
      <c r="C87" s="19" t="s">
        <v>17</v>
      </c>
      <c r="D87" s="16" t="s">
        <v>16</v>
      </c>
      <c r="H87" s="16" t="s">
        <v>18</v>
      </c>
      <c r="I87" s="19" t="s">
        <v>16</v>
      </c>
      <c r="J87" s="16" t="s">
        <v>16</v>
      </c>
      <c r="K87" s="19" t="s">
        <v>16</v>
      </c>
      <c r="L87" s="19" t="s">
        <v>19</v>
      </c>
      <c r="M87" s="57" t="str">
        <f t="shared" si="57"/>
        <v>Access</v>
      </c>
      <c r="N87" s="5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ref="A88:A110" si="58">IF(A39="","",A39)</f>
        <v>Pig sales: no sold</v>
      </c>
      <c r="B88" s="75">
        <f t="shared" ref="B88:C110" si="59">(B39/$B$80)</f>
        <v>0</v>
      </c>
      <c r="C88" s="75">
        <f t="shared" si="59"/>
        <v>0</v>
      </c>
      <c r="D88" s="24">
        <f t="shared" ref="D88:D110" si="60">(B88+C88)</f>
        <v>0</v>
      </c>
      <c r="H88" s="24">
        <f t="shared" ref="H88:H110" si="61">(E39*F39/G39*F$7/F$9)</f>
        <v>0.9196428571428571</v>
      </c>
      <c r="I88" s="22">
        <f t="shared" ref="I88:I110" si="62">(D88*H88)</f>
        <v>0</v>
      </c>
      <c r="J88" s="24">
        <f t="shared" ref="J88:J110" si="63">IF(I$34&lt;=1+I$123,I88,L88+J$35*(I88-L88))</f>
        <v>0</v>
      </c>
      <c r="K88" s="22">
        <f t="shared" ref="K88:K110" si="64">(B88)</f>
        <v>0</v>
      </c>
      <c r="L88" s="22">
        <f t="shared" ref="L88:L110" si="65">(K88*H88)</f>
        <v>0</v>
      </c>
      <c r="M88" s="230">
        <f t="shared" si="57"/>
        <v>0</v>
      </c>
      <c r="N88" s="232">
        <v>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58"/>
        <v>Cattle sales - local: no. sold</v>
      </c>
      <c r="B89" s="75">
        <f t="shared" si="59"/>
        <v>0</v>
      </c>
      <c r="C89" s="75">
        <f t="shared" si="59"/>
        <v>0</v>
      </c>
      <c r="D89" s="24">
        <f t="shared" si="60"/>
        <v>0</v>
      </c>
      <c r="H89" s="24">
        <f t="shared" si="61"/>
        <v>0.99107142857142871</v>
      </c>
      <c r="I89" s="22">
        <f t="shared" si="62"/>
        <v>0</v>
      </c>
      <c r="J89" s="24">
        <f t="shared" si="63"/>
        <v>0</v>
      </c>
      <c r="K89" s="22">
        <f t="shared" si="64"/>
        <v>0</v>
      </c>
      <c r="L89" s="22">
        <f t="shared" si="65"/>
        <v>0</v>
      </c>
      <c r="M89" s="230">
        <f t="shared" si="57"/>
        <v>0</v>
      </c>
      <c r="N89" s="232">
        <v>5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58"/>
        <v>Goat sales - local: no. sold</v>
      </c>
      <c r="B90" s="75">
        <f t="shared" si="59"/>
        <v>0</v>
      </c>
      <c r="C90" s="75">
        <f t="shared" si="59"/>
        <v>0</v>
      </c>
      <c r="D90" s="24">
        <f t="shared" si="60"/>
        <v>0</v>
      </c>
      <c r="H90" s="24">
        <f t="shared" si="61"/>
        <v>0.9732142857142857</v>
      </c>
      <c r="I90" s="22">
        <f t="shared" si="62"/>
        <v>0</v>
      </c>
      <c r="J90" s="24">
        <f t="shared" si="63"/>
        <v>0</v>
      </c>
      <c r="K90" s="22">
        <f t="shared" si="64"/>
        <v>0</v>
      </c>
      <c r="L90" s="22">
        <f t="shared" si="65"/>
        <v>0</v>
      </c>
      <c r="M90" s="230">
        <f t="shared" si="57"/>
        <v>0</v>
      </c>
      <c r="N90" s="23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58"/>
        <v>Maize: kg produced</v>
      </c>
      <c r="B91" s="75">
        <f t="shared" si="59"/>
        <v>0</v>
      </c>
      <c r="C91" s="75">
        <f t="shared" si="59"/>
        <v>0</v>
      </c>
      <c r="D91" s="24">
        <f t="shared" si="60"/>
        <v>0</v>
      </c>
      <c r="H91" s="24">
        <f t="shared" si="61"/>
        <v>0.9107142857142857</v>
      </c>
      <c r="I91" s="22">
        <f t="shared" si="62"/>
        <v>0</v>
      </c>
      <c r="J91" s="24">
        <f t="shared" si="63"/>
        <v>0</v>
      </c>
      <c r="K91" s="22">
        <f t="shared" si="64"/>
        <v>0</v>
      </c>
      <c r="L91" s="22">
        <f t="shared" si="65"/>
        <v>0</v>
      </c>
      <c r="M91" s="231">
        <f t="shared" si="57"/>
        <v>0</v>
      </c>
      <c r="N91" s="232">
        <v>2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8"/>
        <v>Maize (irrigated): kg produced</v>
      </c>
      <c r="B92" s="75">
        <f t="shared" si="59"/>
        <v>0</v>
      </c>
      <c r="C92" s="75">
        <f t="shared" si="59"/>
        <v>0</v>
      </c>
      <c r="D92" s="24">
        <f t="shared" si="60"/>
        <v>0</v>
      </c>
      <c r="H92" s="24">
        <f t="shared" si="61"/>
        <v>0.9107142857142857</v>
      </c>
      <c r="I92" s="22">
        <f t="shared" si="62"/>
        <v>0</v>
      </c>
      <c r="J92" s="24">
        <f t="shared" si="63"/>
        <v>0</v>
      </c>
      <c r="K92" s="22">
        <f t="shared" si="64"/>
        <v>0</v>
      </c>
      <c r="L92" s="22">
        <f t="shared" si="65"/>
        <v>0</v>
      </c>
      <c r="M92" s="231">
        <f t="shared" si="57"/>
        <v>0</v>
      </c>
      <c r="N92" s="232">
        <v>2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8"/>
        <v>Beans season 2: kg produced</v>
      </c>
      <c r="B93" s="75">
        <f t="shared" si="59"/>
        <v>0</v>
      </c>
      <c r="C93" s="75">
        <f t="shared" si="59"/>
        <v>0</v>
      </c>
      <c r="D93" s="24">
        <f t="shared" si="60"/>
        <v>0</v>
      </c>
      <c r="H93" s="24">
        <f t="shared" si="61"/>
        <v>1.0089285714285712</v>
      </c>
      <c r="I93" s="22">
        <f t="shared" si="62"/>
        <v>0</v>
      </c>
      <c r="J93" s="24">
        <f t="shared" si="63"/>
        <v>0</v>
      </c>
      <c r="K93" s="22">
        <f t="shared" si="64"/>
        <v>0</v>
      </c>
      <c r="L93" s="22">
        <f t="shared" si="65"/>
        <v>0</v>
      </c>
      <c r="M93" s="231">
        <f t="shared" si="57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8"/>
        <v>Other root crops (sweet potato): no. local meas</v>
      </c>
      <c r="B94" s="75">
        <f t="shared" si="59"/>
        <v>0.14745695828144459</v>
      </c>
      <c r="C94" s="75">
        <f t="shared" si="59"/>
        <v>-0.14745695828144459</v>
      </c>
      <c r="D94" s="24">
        <f t="shared" si="60"/>
        <v>0</v>
      </c>
      <c r="H94" s="24">
        <f t="shared" si="61"/>
        <v>0.89285714285714279</v>
      </c>
      <c r="I94" s="22">
        <f t="shared" si="62"/>
        <v>0</v>
      </c>
      <c r="J94" s="24">
        <f t="shared" si="63"/>
        <v>0.13308925217068995</v>
      </c>
      <c r="K94" s="22">
        <f t="shared" si="64"/>
        <v>0.14745695828144459</v>
      </c>
      <c r="L94" s="22">
        <f t="shared" si="65"/>
        <v>0.13165799846557552</v>
      </c>
      <c r="M94" s="231">
        <f t="shared" si="57"/>
        <v>0.13308925217068995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8"/>
        <v>Groundnuts (dry): no. local meas</v>
      </c>
      <c r="B95" s="75">
        <f t="shared" si="59"/>
        <v>2.0349060242839351E-2</v>
      </c>
      <c r="C95" s="75">
        <f t="shared" si="59"/>
        <v>-2.0349060242839351E-2</v>
      </c>
      <c r="D95" s="24">
        <f t="shared" si="60"/>
        <v>0</v>
      </c>
      <c r="H95" s="24">
        <f t="shared" si="61"/>
        <v>0.89285714285714279</v>
      </c>
      <c r="I95" s="22">
        <f t="shared" si="62"/>
        <v>0</v>
      </c>
      <c r="J95" s="24">
        <f t="shared" si="63"/>
        <v>1.8366316799555214E-2</v>
      </c>
      <c r="K95" s="22">
        <f t="shared" si="64"/>
        <v>2.0349060242839351E-2</v>
      </c>
      <c r="L95" s="22">
        <f t="shared" si="65"/>
        <v>1.8168803788249421E-2</v>
      </c>
      <c r="M95" s="231">
        <f t="shared" si="57"/>
        <v>1.8366316799555214E-2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8"/>
        <v>Other crop: Rape</v>
      </c>
      <c r="B96" s="75">
        <f t="shared" si="59"/>
        <v>0</v>
      </c>
      <c r="C96" s="75">
        <f t="shared" si="59"/>
        <v>0</v>
      </c>
      <c r="D96" s="24">
        <f t="shared" si="60"/>
        <v>0</v>
      </c>
      <c r="H96" s="24">
        <f t="shared" si="61"/>
        <v>0.95535714285714279</v>
      </c>
      <c r="I96" s="22">
        <f t="shared" si="62"/>
        <v>0</v>
      </c>
      <c r="J96" s="24">
        <f t="shared" si="63"/>
        <v>0</v>
      </c>
      <c r="K96" s="22">
        <f t="shared" si="64"/>
        <v>0</v>
      </c>
      <c r="L96" s="22">
        <f t="shared" si="65"/>
        <v>0</v>
      </c>
      <c r="M96" s="231">
        <f t="shared" si="57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8"/>
        <v>Other cashcrop (cabbage): kg produced</v>
      </c>
      <c r="B97" s="75">
        <f t="shared" si="59"/>
        <v>0</v>
      </c>
      <c r="C97" s="75">
        <f t="shared" si="59"/>
        <v>0</v>
      </c>
      <c r="D97" s="24">
        <f t="shared" si="60"/>
        <v>0</v>
      </c>
      <c r="H97" s="24">
        <f t="shared" si="61"/>
        <v>0.9642857142857143</v>
      </c>
      <c r="I97" s="22">
        <f t="shared" si="62"/>
        <v>0</v>
      </c>
      <c r="J97" s="24">
        <f t="shared" si="63"/>
        <v>0</v>
      </c>
      <c r="K97" s="22">
        <f t="shared" si="64"/>
        <v>0</v>
      </c>
      <c r="L97" s="22">
        <f t="shared" si="65"/>
        <v>0</v>
      </c>
      <c r="M97" s="231">
        <f t="shared" si="57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8"/>
        <v>FISHING -- see worksheet Data 3</v>
      </c>
      <c r="B98" s="75">
        <f t="shared" si="59"/>
        <v>0</v>
      </c>
      <c r="C98" s="75">
        <f t="shared" si="59"/>
        <v>0</v>
      </c>
      <c r="D98" s="24">
        <f t="shared" si="60"/>
        <v>0</v>
      </c>
      <c r="H98" s="24">
        <f t="shared" si="61"/>
        <v>0.89285714285714279</v>
      </c>
      <c r="I98" s="22">
        <f t="shared" si="62"/>
        <v>0</v>
      </c>
      <c r="J98" s="24">
        <f t="shared" si="63"/>
        <v>0</v>
      </c>
      <c r="K98" s="22">
        <f t="shared" si="64"/>
        <v>0</v>
      </c>
      <c r="L98" s="22">
        <f t="shared" si="65"/>
        <v>0</v>
      </c>
      <c r="M98" s="230">
        <f t="shared" si="57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8"/>
        <v>WILD FOODS -- see worksheet Data 3</v>
      </c>
      <c r="B99" s="75">
        <f t="shared" si="59"/>
        <v>0.19759232409713573</v>
      </c>
      <c r="C99" s="75">
        <f t="shared" si="59"/>
        <v>-8.6999605386052295E-2</v>
      </c>
      <c r="D99" s="24">
        <f t="shared" si="60"/>
        <v>0.11059271871108343</v>
      </c>
      <c r="H99" s="24">
        <f t="shared" si="61"/>
        <v>0.7142857142857143</v>
      </c>
      <c r="I99" s="22">
        <f t="shared" si="62"/>
        <v>7.8994799079345313E-2</v>
      </c>
      <c r="J99" s="24">
        <f t="shared" si="63"/>
        <v>0.14181292610391097</v>
      </c>
      <c r="K99" s="22">
        <f t="shared" si="64"/>
        <v>0.19759232409713573</v>
      </c>
      <c r="L99" s="22">
        <f t="shared" si="65"/>
        <v>0.14113737435509696</v>
      </c>
      <c r="M99" s="231">
        <f t="shared" si="57"/>
        <v>0.14181292610391097</v>
      </c>
      <c r="N99" s="232">
        <v>6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8"/>
        <v>Agricultural casual work -- see Data2</v>
      </c>
      <c r="B100" s="75">
        <f t="shared" si="59"/>
        <v>0.13271126245330012</v>
      </c>
      <c r="C100" s="75">
        <f t="shared" si="59"/>
        <v>0</v>
      </c>
      <c r="D100" s="24">
        <f t="shared" si="60"/>
        <v>0.13271126245330012</v>
      </c>
      <c r="H100" s="24">
        <f t="shared" si="61"/>
        <v>0.86223214285714289</v>
      </c>
      <c r="I100" s="22">
        <f t="shared" si="62"/>
        <v>0.11442791620638565</v>
      </c>
      <c r="J100" s="24">
        <f t="shared" si="63"/>
        <v>0.11442791620638565</v>
      </c>
      <c r="K100" s="22">
        <f t="shared" si="64"/>
        <v>0.13271126245330012</v>
      </c>
      <c r="L100" s="22">
        <f t="shared" si="65"/>
        <v>0.11442791620638565</v>
      </c>
      <c r="M100" s="231">
        <f t="shared" si="57"/>
        <v>0.11442791620638565</v>
      </c>
      <c r="N100" s="232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8"/>
        <v>Construction casual work -- see Data2</v>
      </c>
      <c r="B101" s="75">
        <f t="shared" si="59"/>
        <v>0.2123380199252802</v>
      </c>
      <c r="C101" s="75">
        <f t="shared" si="59"/>
        <v>0</v>
      </c>
      <c r="D101" s="24">
        <f t="shared" si="60"/>
        <v>0.2123380199252802</v>
      </c>
      <c r="H101" s="24">
        <f t="shared" si="61"/>
        <v>0.98214285714285721</v>
      </c>
      <c r="I101" s="22">
        <f t="shared" si="62"/>
        <v>0.20854626956947164</v>
      </c>
      <c r="J101" s="24">
        <f t="shared" si="63"/>
        <v>0.20854626956947164</v>
      </c>
      <c r="K101" s="22">
        <f t="shared" si="64"/>
        <v>0.2123380199252802</v>
      </c>
      <c r="L101" s="22">
        <f t="shared" si="65"/>
        <v>0.20854626956947164</v>
      </c>
      <c r="M101" s="231">
        <f t="shared" si="57"/>
        <v>0.20854626956947164</v>
      </c>
      <c r="N101" s="232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8"/>
        <v>Domestic casual work -- see Data2</v>
      </c>
      <c r="B102" s="75">
        <f t="shared" si="59"/>
        <v>0.70779339975093392</v>
      </c>
      <c r="C102" s="75">
        <f t="shared" si="59"/>
        <v>0</v>
      </c>
      <c r="D102" s="24">
        <f t="shared" si="60"/>
        <v>0.70779339975093392</v>
      </c>
      <c r="H102" s="24">
        <f t="shared" si="61"/>
        <v>0.98214285714285721</v>
      </c>
      <c r="I102" s="22">
        <f t="shared" si="62"/>
        <v>0.69515423189823866</v>
      </c>
      <c r="J102" s="24">
        <f t="shared" si="63"/>
        <v>0.69515423189823866</v>
      </c>
      <c r="K102" s="22">
        <f t="shared" si="64"/>
        <v>0.70779339975093392</v>
      </c>
      <c r="L102" s="22">
        <f t="shared" si="65"/>
        <v>0.69515423189823866</v>
      </c>
      <c r="M102" s="231">
        <f t="shared" si="57"/>
        <v>0.69515423189823866</v>
      </c>
      <c r="N102" s="232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8"/>
        <v>Labour migration: no. people per HH</v>
      </c>
      <c r="B103" s="75">
        <f t="shared" si="59"/>
        <v>0</v>
      </c>
      <c r="C103" s="75">
        <f t="shared" si="59"/>
        <v>0</v>
      </c>
      <c r="D103" s="24">
        <f t="shared" si="60"/>
        <v>0</v>
      </c>
      <c r="H103" s="24">
        <f t="shared" si="61"/>
        <v>0.95535714285714279</v>
      </c>
      <c r="I103" s="22">
        <f t="shared" si="62"/>
        <v>0</v>
      </c>
      <c r="J103" s="24">
        <f t="shared" si="63"/>
        <v>0</v>
      </c>
      <c r="K103" s="22">
        <f t="shared" si="64"/>
        <v>0</v>
      </c>
      <c r="L103" s="22">
        <f t="shared" si="65"/>
        <v>0</v>
      </c>
      <c r="M103" s="231">
        <f>(J103)</f>
        <v>0</v>
      </c>
      <c r="N103" s="232">
        <v>8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8"/>
        <v>Formal Employment (e.g. teachers, salaried staff, etc.)</v>
      </c>
      <c r="B104" s="75">
        <f t="shared" si="59"/>
        <v>0</v>
      </c>
      <c r="C104" s="75">
        <f t="shared" si="59"/>
        <v>0</v>
      </c>
      <c r="D104" s="24">
        <f t="shared" si="60"/>
        <v>0</v>
      </c>
      <c r="H104" s="24">
        <f t="shared" si="61"/>
        <v>0.95535714285714279</v>
      </c>
      <c r="I104" s="22">
        <f t="shared" si="62"/>
        <v>0</v>
      </c>
      <c r="J104" s="24">
        <f t="shared" si="63"/>
        <v>0</v>
      </c>
      <c r="K104" s="22">
        <f t="shared" si="64"/>
        <v>0</v>
      </c>
      <c r="L104" s="22">
        <f t="shared" si="65"/>
        <v>0</v>
      </c>
      <c r="M104" s="231">
        <f t="shared" si="57"/>
        <v>0</v>
      </c>
      <c r="N104" s="232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8"/>
        <v>Self-employment -- see Data2</v>
      </c>
      <c r="B105" s="75">
        <f t="shared" si="59"/>
        <v>0.77414903097758403</v>
      </c>
      <c r="C105" s="75">
        <f t="shared" si="59"/>
        <v>0.15482980619551681</v>
      </c>
      <c r="D105" s="24">
        <f t="shared" si="60"/>
        <v>0.92897883717310081</v>
      </c>
      <c r="H105" s="24">
        <f t="shared" si="61"/>
        <v>0.98214285714285721</v>
      </c>
      <c r="I105" s="22">
        <f t="shared" si="62"/>
        <v>0.91238992936643837</v>
      </c>
      <c r="J105" s="24">
        <f t="shared" si="63"/>
        <v>0.75867184310929148</v>
      </c>
      <c r="K105" s="22">
        <f t="shared" si="64"/>
        <v>0.77414903097758403</v>
      </c>
      <c r="L105" s="22">
        <f t="shared" si="65"/>
        <v>0.76032494113869864</v>
      </c>
      <c r="M105" s="231">
        <f t="shared" si="57"/>
        <v>0.75867184310929148</v>
      </c>
      <c r="N105" s="232">
        <v>10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8"/>
        <v>Small business -- see Data2</v>
      </c>
      <c r="B106" s="75">
        <f t="shared" si="59"/>
        <v>0</v>
      </c>
      <c r="C106" s="75">
        <f t="shared" si="59"/>
        <v>0</v>
      </c>
      <c r="D106" s="24">
        <f t="shared" si="60"/>
        <v>0</v>
      </c>
      <c r="H106" s="24">
        <f t="shared" si="61"/>
        <v>0.9375</v>
      </c>
      <c r="I106" s="22">
        <f t="shared" si="62"/>
        <v>0</v>
      </c>
      <c r="J106" s="24">
        <f t="shared" si="63"/>
        <v>0</v>
      </c>
      <c r="K106" s="22">
        <f t="shared" si="64"/>
        <v>0</v>
      </c>
      <c r="L106" s="22">
        <f t="shared" si="65"/>
        <v>0</v>
      </c>
      <c r="M106" s="230">
        <f>(J106)</f>
        <v>0</v>
      </c>
      <c r="N106" s="232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8"/>
        <v>Social Cash Transfers -- see Data2</v>
      </c>
      <c r="B107" s="75">
        <f t="shared" si="59"/>
        <v>3.1675095156656856</v>
      </c>
      <c r="C107" s="75">
        <f t="shared" si="59"/>
        <v>0</v>
      </c>
      <c r="D107" s="24">
        <f t="shared" si="60"/>
        <v>3.1675095156656856</v>
      </c>
      <c r="H107" s="24">
        <f t="shared" si="61"/>
        <v>0.99107142857142871</v>
      </c>
      <c r="I107" s="22">
        <f t="shared" si="62"/>
        <v>3.1392281807043854</v>
      </c>
      <c r="J107" s="24">
        <f t="shared" si="63"/>
        <v>3.1392281807043854</v>
      </c>
      <c r="K107" s="22">
        <f t="shared" si="64"/>
        <v>3.1675095156656856</v>
      </c>
      <c r="L107" s="22">
        <f t="shared" si="65"/>
        <v>3.1392281807043854</v>
      </c>
      <c r="M107" s="230">
        <f t="shared" si="57"/>
        <v>3.1392281807043854</v>
      </c>
      <c r="N107" s="232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Remittances: no. times per year</v>
      </c>
      <c r="B108" s="75">
        <f t="shared" si="59"/>
        <v>0</v>
      </c>
      <c r="C108" s="75">
        <f t="shared" si="59"/>
        <v>0</v>
      </c>
      <c r="D108" s="24">
        <f t="shared" si="60"/>
        <v>0</v>
      </c>
      <c r="H108" s="24">
        <f t="shared" si="61"/>
        <v>0.9375</v>
      </c>
      <c r="I108" s="22">
        <f t="shared" si="62"/>
        <v>0</v>
      </c>
      <c r="J108" s="24">
        <f t="shared" si="63"/>
        <v>0</v>
      </c>
      <c r="K108" s="22">
        <f t="shared" si="64"/>
        <v>0</v>
      </c>
      <c r="L108" s="22">
        <f t="shared" si="65"/>
        <v>0</v>
      </c>
      <c r="M108" s="57">
        <f t="shared" si="57"/>
        <v>0</v>
      </c>
      <c r="N108" s="232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9"/>
        <v>0</v>
      </c>
      <c r="C109" s="75">
        <f t="shared" si="59"/>
        <v>0</v>
      </c>
      <c r="D109" s="24">
        <f t="shared" si="60"/>
        <v>0</v>
      </c>
      <c r="H109" s="24">
        <f t="shared" si="61"/>
        <v>0.89285714285714279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57">
        <f t="shared" si="57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9"/>
        <v>0</v>
      </c>
      <c r="C110" s="75">
        <f t="shared" si="59"/>
        <v>0</v>
      </c>
      <c r="D110" s="24">
        <f t="shared" si="60"/>
        <v>0</v>
      </c>
      <c r="H110" s="24">
        <f t="shared" si="61"/>
        <v>0.89285714285714279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57">
        <f t="shared" si="57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">
        <v>32</v>
      </c>
      <c r="B111" s="22">
        <f>SUM(B88:B110)</f>
        <v>5.3598995713942035</v>
      </c>
      <c r="C111" s="22">
        <f>SUM(C88:C110)</f>
        <v>-9.997581771481942E-2</v>
      </c>
      <c r="D111" s="24">
        <f>SUM(D88:D110)</f>
        <v>5.2599237536793844</v>
      </c>
      <c r="E111" s="22"/>
      <c r="F111" s="2"/>
      <c r="G111" s="2"/>
      <c r="H111" s="31"/>
      <c r="I111" s="22">
        <f>SUM(I88:I110)</f>
        <v>5.1487413268242648</v>
      </c>
      <c r="J111" s="24">
        <f>SUM(J88:J110)</f>
        <v>5.2092969365619286</v>
      </c>
      <c r="K111" s="22">
        <f>SUM(K88:K110)</f>
        <v>5.3598995713942035</v>
      </c>
      <c r="L111" s="22">
        <f>SUM(L88:L110)</f>
        <v>5.2086457161261013</v>
      </c>
      <c r="M111" s="57">
        <f t="shared" si="57"/>
        <v>5.2092969365619286</v>
      </c>
      <c r="N111" s="22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83"/>
      <c r="B112" s="83"/>
      <c r="C112" s="83"/>
      <c r="D112" s="10"/>
      <c r="E112" s="11"/>
      <c r="F112" s="11"/>
      <c r="G112" s="11"/>
      <c r="H112" s="10"/>
      <c r="I112" s="11"/>
      <c r="J112" s="62"/>
      <c r="K112" s="14"/>
      <c r="L112" s="11"/>
      <c r="M112" s="63"/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>
      <c r="A113" s="73" t="str">
        <f>A64</f>
        <v>Expenditure : Very Poor HHs</v>
      </c>
      <c r="B113" s="2"/>
      <c r="C113" s="2"/>
      <c r="D113" s="31"/>
      <c r="E113" s="2"/>
      <c r="F113" s="2"/>
      <c r="G113" s="2"/>
      <c r="H113" s="31"/>
      <c r="I113" s="22"/>
      <c r="J113" s="18"/>
      <c r="L113" s="2"/>
      <c r="M113" s="57"/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  <c r="AM113" s="21"/>
      <c r="AN113" s="21"/>
      <c r="AO113" s="21"/>
      <c r="AV113" s="21"/>
      <c r="AW113" s="21"/>
      <c r="AX113" s="21"/>
      <c r="BC113" s="21"/>
      <c r="BD113" s="21"/>
      <c r="BE113" s="21"/>
      <c r="BL113" s="21"/>
      <c r="BM113" s="21"/>
      <c r="BN113" s="21"/>
      <c r="BS113" s="21"/>
      <c r="BT113" s="21"/>
      <c r="BU113" s="21"/>
      <c r="CA113" s="21"/>
      <c r="CB113" s="21"/>
      <c r="CC113" s="21"/>
      <c r="CH113" s="21"/>
      <c r="CI113" s="21"/>
      <c r="CJ113" s="21"/>
    </row>
    <row r="114" spans="1:88" ht="14" customHeight="1">
      <c r="A114" s="84"/>
      <c r="B114" s="19" t="s">
        <v>7</v>
      </c>
      <c r="C114" s="2"/>
      <c r="D114" s="16"/>
      <c r="H114" s="16" t="s">
        <v>12</v>
      </c>
      <c r="I114" s="19" t="s">
        <v>13</v>
      </c>
      <c r="J114" s="16" t="s">
        <v>14</v>
      </c>
      <c r="K114" s="19" t="s">
        <v>7</v>
      </c>
      <c r="L114" s="19" t="s">
        <v>15</v>
      </c>
      <c r="M114" s="57" t="str">
        <f t="shared" ref="M114:M122" si="66">(J114)</f>
        <v>Curr.</v>
      </c>
      <c r="N114" s="5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">
        <v>44</v>
      </c>
      <c r="B115" s="19" t="s">
        <v>35</v>
      </c>
      <c r="C115" s="2"/>
      <c r="D115" s="31"/>
      <c r="H115" s="16" t="s">
        <v>18</v>
      </c>
      <c r="I115" s="19" t="s">
        <v>35</v>
      </c>
      <c r="J115" s="16" t="s">
        <v>35</v>
      </c>
      <c r="K115" s="19" t="s">
        <v>35</v>
      </c>
      <c r="L115" s="19" t="s">
        <v>19</v>
      </c>
      <c r="M115" s="57" t="str">
        <f t="shared" si="66"/>
        <v>Expend</v>
      </c>
      <c r="N115" s="5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2"/>
      <c r="AC115" s="2"/>
      <c r="AD115" s="2"/>
      <c r="AE115" s="2"/>
      <c r="AF115" s="2"/>
      <c r="AG115" s="2"/>
    </row>
    <row r="116" spans="1:88" ht="14" customHeight="1">
      <c r="A116" s="109" t="s">
        <v>131</v>
      </c>
      <c r="B116" s="75">
        <f>IF($B$78=0,0,B67/$B$80)</f>
        <v>3.8211937507024705</v>
      </c>
      <c r="C116" s="2"/>
      <c r="D116" s="24"/>
      <c r="H116" s="24">
        <f>(E67*F67/G$39*F$7/F$9)</f>
        <v>1.0178571428571426</v>
      </c>
      <c r="I116" s="29">
        <f>IF(SUMPRODUCT($B$116:$B116,$H$116:$H116)&lt;I$111,($B116*$H116),I$111)</f>
        <v>3.8894293533935849</v>
      </c>
      <c r="J116" s="241">
        <f>IF(SUMPRODUCT($B$116:$B116,$H$116:$H116)&lt;J$111,($B116*$H116),J$111)</f>
        <v>3.8894293533935849</v>
      </c>
      <c r="K116" s="22">
        <f>(B116)</f>
        <v>3.8211937507024705</v>
      </c>
      <c r="L116" s="22">
        <f>IF(B116*H116&gt;=L111,L111,B116*H116)</f>
        <v>3.8894293533935849</v>
      </c>
      <c r="M116" s="57">
        <f t="shared" si="66"/>
        <v>3.8894293533935849</v>
      </c>
      <c r="N116" s="58"/>
      <c r="O116" s="173">
        <f>B116*H116</f>
        <v>3.8894293533935849</v>
      </c>
      <c r="P116" s="171"/>
      <c r="Q116" s="172"/>
      <c r="R116" s="69"/>
      <c r="S116" s="2"/>
      <c r="T116" s="2"/>
      <c r="U116" s="2"/>
      <c r="V116" s="2"/>
      <c r="W116" s="2"/>
      <c r="X116" s="2"/>
      <c r="Y116" s="2"/>
      <c r="Z116" s="2"/>
      <c r="AA116" s="2"/>
      <c r="AB116" s="22"/>
      <c r="AC116" s="2"/>
      <c r="AD116" s="2"/>
      <c r="AE116" s="2"/>
      <c r="AF116" s="2"/>
      <c r="AG116" s="2"/>
    </row>
    <row r="117" spans="1:88" ht="14" customHeight="1">
      <c r="A117" s="109" t="s">
        <v>132</v>
      </c>
      <c r="B117" s="75"/>
      <c r="C117" s="2"/>
      <c r="D117" s="24"/>
      <c r="H117" s="24">
        <f t="shared" ref="H117:H118" si="67">(E68*F68/G$39*F$7/F$9)</f>
        <v>0.99107142857142871</v>
      </c>
      <c r="I117" s="29">
        <f>IF(SUMPRODUCT($B$116:$B117,$H$116:$H117)&lt;I$111,($B117*$H117),IF(SUMPRODUCT($B$116:$B116,$H$116:$H116)&lt;I$111,I$111-SUMPRODUCT($B$116:$B116,$H$116:$H116),0))+I111</f>
        <v>5.1487413268242648</v>
      </c>
      <c r="J117" s="241">
        <f>IF(SUMPRODUCT($B$116:$B117,$H$116:$H117)&lt;J$111,($B117*$H117),IF(SUMPRODUCT($B$116:$B116,$H$116:$H116)&lt;J$111,J$111-SUMPRODUCT($B$116:$B116,$H$116:$H116),0))</f>
        <v>0</v>
      </c>
      <c r="K117" s="22">
        <f t="shared" ref="K117:K118" si="68">(B117)</f>
        <v>0</v>
      </c>
      <c r="L117" s="22">
        <f t="shared" ref="L117:L118" si="69">IF(B117*H117&gt;=L112,L112,B117*H117)</f>
        <v>0</v>
      </c>
      <c r="M117" s="57">
        <f t="shared" ref="M117:M118" si="70">(J117)</f>
        <v>0</v>
      </c>
      <c r="N117" s="58"/>
      <c r="O117" s="173"/>
      <c r="P117" s="171"/>
      <c r="Q117" s="172"/>
      <c r="R117" s="69"/>
      <c r="S117" s="2"/>
      <c r="T117" s="2"/>
      <c r="U117" s="2"/>
      <c r="V117" s="2"/>
      <c r="W117" s="2"/>
      <c r="X117" s="2"/>
      <c r="Y117" s="2"/>
      <c r="Z117" s="2"/>
      <c r="AA117" s="2"/>
      <c r="AB117" s="22"/>
      <c r="AC117" s="2"/>
      <c r="AD117" s="2"/>
      <c r="AE117" s="2"/>
      <c r="AF117" s="2"/>
      <c r="AG117" s="2"/>
    </row>
    <row r="118" spans="1:88" ht="14" customHeight="1">
      <c r="A118" s="109" t="s">
        <v>133</v>
      </c>
      <c r="B118" s="75"/>
      <c r="C118" s="2"/>
      <c r="D118" s="24"/>
      <c r="H118" s="24">
        <f t="shared" si="67"/>
        <v>0.99107142857142871</v>
      </c>
      <c r="I118" s="29">
        <f>IF(SUMPRODUCT($B$116:$B118,$H$116:$H118)&lt;(I$111-I$116),($B118*$H118),IF(SUMPRODUCT($B$116:$B117,$H$116:$H117)&lt;(I$111-I$116),I$111-I$116-SUMPRODUCT($B$116:$B117,$H$116:$H117),0))</f>
        <v>0</v>
      </c>
      <c r="J118" s="241">
        <f>IF(SUMPRODUCT($B$116:$B118,$H$116:$H118)&lt;(J$111-J$120),($B118*$H118),IF(SUMPRODUCT($B$116:$B117,$H$116:$H117)&lt;(J$111-J$120),J$111-J$116-SUMPRODUCT($B$116:$B117,$H$116:$H117),0))</f>
        <v>0</v>
      </c>
      <c r="K118" s="22">
        <f t="shared" si="68"/>
        <v>0</v>
      </c>
      <c r="L118" s="22">
        <f t="shared" si="69"/>
        <v>0</v>
      </c>
      <c r="M118" s="57">
        <f t="shared" si="70"/>
        <v>0</v>
      </c>
      <c r="N118" s="58"/>
      <c r="O118" s="173"/>
      <c r="P118" s="171"/>
      <c r="Q118" s="172"/>
      <c r="R118" s="69"/>
      <c r="S118" s="2"/>
      <c r="T118" s="2"/>
      <c r="U118" s="2"/>
      <c r="V118" s="2"/>
      <c r="W118" s="2"/>
      <c r="X118" s="2"/>
      <c r="Y118" s="2"/>
      <c r="Z118" s="2"/>
      <c r="AA118" s="2"/>
      <c r="AB118" s="22"/>
      <c r="AC118" s="2"/>
      <c r="AD118" s="2"/>
      <c r="AE118" s="2"/>
      <c r="AF118" s="2"/>
      <c r="AG118" s="2"/>
    </row>
    <row r="119" spans="1:88" ht="14" customHeight="1">
      <c r="A119" s="109" t="s">
        <v>134</v>
      </c>
      <c r="B119" s="75">
        <f>IF($B$78=0,0,B70/$B$80)</f>
        <v>0.19021947618306351</v>
      </c>
      <c r="C119" s="2"/>
      <c r="D119" s="24"/>
      <c r="H119" s="24">
        <f>(E70*F70/G$39*F$7/F$9)</f>
        <v>0.99107142857142871</v>
      </c>
      <c r="I119" s="29">
        <f>IF(SUMPRODUCT($B$116:$B119,$H$116:$H119)&lt;(I$111-I$116),($B119*$H119),IF(SUMPRODUCT($B$116:$B118,$H$116:$H118)&lt;(I$111-I120),I$111-I$116-SUMPRODUCT($B$116:$B118,$H$116:$H118),0))</f>
        <v>0</v>
      </c>
      <c r="J119" s="241">
        <f>IF(SUMPRODUCT($B$116:$B119,$H$116:$H119)&lt;(J$111-J$120),($B119*$H119),IF(SUMPRODUCT($B$116:$B118,$H$116:$H118)&lt;(J$111-J120),J$111-J$120-SUMPRODUCT($B$116:$B118,$H$116:$H118),0))</f>
        <v>0.18852108800285761</v>
      </c>
      <c r="K119" s="22">
        <f>(B119)</f>
        <v>0.19021947618306351</v>
      </c>
      <c r="L119" s="22">
        <f>IF(L116=L111,0,(L111-L116)/(B111-B116)*K119)</f>
        <v>0.1630855242870882</v>
      </c>
      <c r="M119" s="57">
        <f t="shared" si="66"/>
        <v>0.18852108800285761</v>
      </c>
      <c r="N119" s="58"/>
      <c r="O119" s="173">
        <f>B119*H119</f>
        <v>0.18852108800285761</v>
      </c>
      <c r="Q119" s="2"/>
      <c r="R119" s="22"/>
      <c r="S119" s="2"/>
      <c r="T119" s="2"/>
      <c r="U119" s="2"/>
      <c r="V119" s="2"/>
      <c r="W119" s="2"/>
      <c r="X119" s="2"/>
      <c r="Y119" s="2"/>
      <c r="Z119" s="2"/>
      <c r="AA119" s="2"/>
      <c r="AB119" s="22"/>
      <c r="AC119" s="2"/>
      <c r="AD119" s="2"/>
      <c r="AE119" s="2"/>
      <c r="AF119" s="2"/>
      <c r="AG119" s="2"/>
    </row>
    <row r="120" spans="1:88" ht="14" customHeight="1">
      <c r="A120" s="1" t="s">
        <v>135</v>
      </c>
      <c r="B120" s="22">
        <f>(B32)</f>
        <v>0.56623471980074724</v>
      </c>
      <c r="C120" s="2"/>
      <c r="D120" s="31"/>
      <c r="E120" s="2"/>
      <c r="F120" s="2"/>
      <c r="G120" s="2"/>
      <c r="H120" s="24"/>
      <c r="I120" s="29">
        <f>(I32)</f>
        <v>1.2593119734306799</v>
      </c>
      <c r="J120" s="231">
        <f>(J32)</f>
        <v>0.59475516725094235</v>
      </c>
      <c r="K120" s="22">
        <f>(B120)</f>
        <v>0.56623471980074724</v>
      </c>
      <c r="L120" s="22">
        <f>IF(L116=L111,0,(L111-L116)/(B111-B116)*K120)</f>
        <v>0.48546388624993697</v>
      </c>
      <c r="M120" s="57">
        <f t="shared" si="66"/>
        <v>0.59475516725094235</v>
      </c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2"/>
      <c r="AC120" s="2"/>
      <c r="AD120" s="2"/>
      <c r="AE120" s="2"/>
      <c r="AF120" s="2"/>
      <c r="AG120" s="2"/>
    </row>
    <row r="121" spans="1:88" ht="14" customHeight="1">
      <c r="A121" s="56" t="s">
        <v>55</v>
      </c>
      <c r="B121" s="22">
        <f>(B122-B116-B119-B120)</f>
        <v>0.7822516247079222</v>
      </c>
      <c r="C121" s="2"/>
      <c r="D121" s="31"/>
      <c r="E121" s="2"/>
      <c r="F121" s="2"/>
      <c r="G121" s="2"/>
      <c r="H121" s="24"/>
      <c r="I121" s="29"/>
      <c r="J121" s="231">
        <f>(J122-J116-J117-J118-J119-J120)</f>
        <v>0.53659132791454378</v>
      </c>
      <c r="K121" s="22">
        <f>(B121)</f>
        <v>0.7822516247079222</v>
      </c>
      <c r="L121" s="22">
        <f>IF(L116=L111,0,(L111-L116)/(B111-B116)*K121)</f>
        <v>0.67066695219549122</v>
      </c>
      <c r="M121" s="57">
        <f t="shared" si="66"/>
        <v>0.53659132791454378</v>
      </c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</row>
    <row r="122" spans="1:88" ht="14" customHeight="1">
      <c r="A122" s="2" t="s">
        <v>32</v>
      </c>
      <c r="B122" s="22">
        <f>(B111)</f>
        <v>5.3598995713942035</v>
      </c>
      <c r="C122" s="2"/>
      <c r="D122" s="31"/>
      <c r="E122" s="2"/>
      <c r="F122" s="2"/>
      <c r="G122" s="2"/>
      <c r="H122" s="24"/>
      <c r="I122" s="29">
        <f>(I111)</f>
        <v>5.1487413268242648</v>
      </c>
      <c r="J122" s="231">
        <f>(J111)</f>
        <v>5.2092969365619286</v>
      </c>
      <c r="K122" s="22">
        <f>(B122)</f>
        <v>5.3598995713942035</v>
      </c>
      <c r="L122" s="22">
        <f>(L111)</f>
        <v>5.2086457161261013</v>
      </c>
      <c r="M122" s="57">
        <f t="shared" si="66"/>
        <v>5.2092969365619286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2"/>
      <c r="AC122" s="2"/>
      <c r="AD122" s="2"/>
      <c r="AE122" s="2"/>
      <c r="AF122" s="2"/>
      <c r="AG122" s="2"/>
    </row>
    <row r="123" spans="1:88" ht="14" customHeight="1">
      <c r="A123" s="2" t="s">
        <v>36</v>
      </c>
      <c r="B123" s="22"/>
      <c r="C123" s="2"/>
      <c r="D123" s="31"/>
      <c r="E123" s="2"/>
      <c r="F123" s="2"/>
      <c r="G123" s="2"/>
      <c r="H123" s="24"/>
      <c r="I123" s="29">
        <f>IF(SUMPRODUCT($B116:$B119,$H116:$H119)&gt;(I111-I120),SUMPRODUCT($B116:$B119,$H116:$H119)+I120-I111,0)</f>
        <v>0.18852108800285805</v>
      </c>
      <c r="J123" s="241">
        <f>IF(SUMPRODUCT($B116:$B119,$H116:$H119)&gt;(J111-J120),SUMPRODUCT($B116:$B119,$H116:$H119)+J120-J111,0)</f>
        <v>0</v>
      </c>
      <c r="K123" s="22"/>
      <c r="L123" s="22">
        <f>I123-L119</f>
        <v>2.5435563715769854E-2</v>
      </c>
      <c r="M123" s="57">
        <f>I123-M119</f>
        <v>4.4408920985006262E-16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4"/>
      <c r="B124" s="14"/>
      <c r="C124" s="14"/>
      <c r="D124" s="12"/>
      <c r="E124" s="14"/>
      <c r="F124" s="14"/>
      <c r="G124" s="14"/>
      <c r="H124" s="12"/>
      <c r="I124" s="14"/>
      <c r="J124" s="12"/>
      <c r="K124" s="14"/>
      <c r="L124" s="14"/>
      <c r="M124" s="66"/>
      <c r="N124" s="58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B135" s="22"/>
      <c r="C135" s="22"/>
      <c r="D135" s="2"/>
      <c r="E135" s="2"/>
      <c r="F135" s="2"/>
      <c r="G135" s="2"/>
      <c r="H135" s="2"/>
      <c r="I135" s="2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68"/>
      <c r="AC135" s="2"/>
      <c r="AD135" s="2"/>
      <c r="AE135" s="2"/>
      <c r="AF135" s="2"/>
      <c r="AG135" s="2"/>
    </row>
    <row r="136" spans="1:33">
      <c r="B136" s="22"/>
      <c r="C136" s="22"/>
      <c r="D136" s="2"/>
      <c r="E136" s="2"/>
      <c r="F136" s="2"/>
      <c r="G136" s="2"/>
      <c r="H136" s="2"/>
      <c r="I136" s="2"/>
      <c r="J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68"/>
      <c r="AC136" s="2"/>
      <c r="AD136" s="2"/>
      <c r="AE136" s="2"/>
      <c r="AF136" s="2"/>
      <c r="AG136" s="2"/>
    </row>
    <row r="137" spans="1:33">
      <c r="B137" s="22"/>
      <c r="C137" s="22"/>
      <c r="D137" s="2"/>
      <c r="E137" s="2"/>
      <c r="F137" s="2"/>
      <c r="G137" s="2"/>
      <c r="H137" s="2"/>
      <c r="I137" s="22"/>
      <c r="J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68"/>
      <c r="AC137" s="2"/>
      <c r="AD137" s="2"/>
      <c r="AE137" s="2"/>
      <c r="AF137" s="2"/>
      <c r="AG137" s="2"/>
    </row>
    <row r="138" spans="1:33">
      <c r="B138" s="2"/>
      <c r="C138" s="2"/>
      <c r="D138" s="2"/>
      <c r="E138" s="2"/>
      <c r="F138" s="2"/>
      <c r="G138" s="2"/>
      <c r="H138" s="2"/>
      <c r="I138" s="2"/>
      <c r="J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68"/>
      <c r="AC138" s="2"/>
      <c r="AD138" s="2"/>
      <c r="AE138" s="2"/>
      <c r="AF138" s="2"/>
      <c r="AG138" s="2"/>
    </row>
    <row r="139" spans="1:33">
      <c r="B139" s="22"/>
      <c r="C139" s="22"/>
      <c r="D139" s="2"/>
      <c r="E139" s="2"/>
      <c r="F139" s="2"/>
      <c r="G139" s="2"/>
      <c r="H139" s="2"/>
      <c r="I139" s="2"/>
      <c r="J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68"/>
      <c r="AC139" s="2"/>
      <c r="AD139" s="2"/>
      <c r="AE139" s="2"/>
      <c r="AF139" s="2"/>
      <c r="AG139" s="2"/>
    </row>
    <row r="140" spans="1:33">
      <c r="B140" s="22"/>
      <c r="C140" s="22"/>
      <c r="D140" s="2"/>
      <c r="E140" s="2"/>
      <c r="F140" s="2"/>
      <c r="G140" s="2"/>
      <c r="H140" s="2"/>
      <c r="I140" s="2"/>
      <c r="J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68"/>
      <c r="AC140" s="2"/>
      <c r="AD140" s="2"/>
      <c r="AE140" s="2"/>
      <c r="AF140" s="2"/>
      <c r="AG140" s="2"/>
    </row>
    <row r="141" spans="1:33">
      <c r="B141" s="22"/>
      <c r="C141" s="22"/>
      <c r="D141" s="2"/>
      <c r="E141" s="2"/>
      <c r="F141" s="2"/>
      <c r="G141" s="2"/>
      <c r="H141" s="2"/>
      <c r="I141" s="2"/>
      <c r="J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68"/>
      <c r="AC141" s="2"/>
      <c r="AD141" s="2"/>
      <c r="AE141" s="2"/>
      <c r="AF141" s="2"/>
      <c r="AG141" s="2"/>
    </row>
    <row r="142" spans="1:33">
      <c r="B142" s="22"/>
      <c r="C142" s="2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68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69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3"/>
      <c r="B146" s="2"/>
      <c r="C146" s="2"/>
      <c r="D146" s="2"/>
      <c r="E146" s="2"/>
      <c r="F146" s="2"/>
      <c r="H146" s="2"/>
      <c r="I146" s="2"/>
      <c r="J146" s="2"/>
      <c r="L146" s="2"/>
      <c r="W146" s="71"/>
    </row>
    <row r="147" spans="1:33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1"/>
    </row>
    <row r="148" spans="1:33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1"/>
    </row>
    <row r="149" spans="1:33">
      <c r="A149" s="22"/>
      <c r="B149" s="2"/>
      <c r="C149" s="2"/>
      <c r="D149" s="2"/>
      <c r="E149" s="2"/>
      <c r="F149" s="2"/>
      <c r="H149" s="2"/>
      <c r="I149" s="2"/>
      <c r="J149" s="2"/>
      <c r="L149" s="2"/>
      <c r="W149" s="71"/>
    </row>
    <row r="150" spans="1:33">
      <c r="A150" s="2"/>
      <c r="B150" s="2"/>
      <c r="C150" s="2"/>
      <c r="D150" s="2"/>
      <c r="E150" s="2"/>
      <c r="F150" s="2"/>
      <c r="H150" s="2"/>
      <c r="I150" s="2"/>
      <c r="J150" s="2"/>
      <c r="L150" s="2"/>
      <c r="W150" s="71"/>
    </row>
    <row r="151" spans="1:33">
      <c r="A151" s="2"/>
      <c r="B151" s="2"/>
      <c r="C151" s="2"/>
      <c r="D151" s="2"/>
      <c r="E151" s="2"/>
      <c r="F151" s="2"/>
      <c r="H151" s="2"/>
      <c r="I151" s="2"/>
      <c r="J151" s="2"/>
      <c r="L151" s="2"/>
    </row>
    <row r="152" spans="1:33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33">
      <c r="A153" s="2"/>
      <c r="B153" s="2"/>
      <c r="C153" s="2"/>
      <c r="D153" s="2"/>
      <c r="E153" s="2"/>
      <c r="F153" s="2"/>
      <c r="H153" s="2"/>
      <c r="I153" s="2"/>
      <c r="J153" s="2"/>
      <c r="L153" s="2"/>
      <c r="AB153" s="71"/>
    </row>
    <row r="154" spans="1:33">
      <c r="A154" s="2"/>
      <c r="B154" s="2"/>
      <c r="C154" s="2"/>
      <c r="D154" s="2"/>
      <c r="E154" s="2"/>
      <c r="F154" s="2"/>
      <c r="H154" s="2"/>
      <c r="I154" s="2"/>
      <c r="J154" s="2"/>
      <c r="L154" s="2"/>
      <c r="AB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AB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AB156" s="71"/>
    </row>
    <row r="157" spans="1:33">
      <c r="A157" s="2"/>
      <c r="B157" s="2"/>
      <c r="C157" s="2"/>
      <c r="D157" s="2"/>
      <c r="E157" s="2"/>
      <c r="F157" s="2"/>
      <c r="H157" s="2"/>
      <c r="I157" s="2"/>
      <c r="J157" s="2"/>
      <c r="L157" s="2"/>
      <c r="W157" s="72"/>
      <c r="AB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2"/>
      <c r="AB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  <c r="AB159" s="71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W163" s="7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W164" s="7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W169" s="7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  <c r="W170" s="72"/>
      <c r="AB170" s="71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AB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</row>
    <row r="177" spans="23:28">
      <c r="AB177" s="71"/>
    </row>
    <row r="178" spans="23:28">
      <c r="AB178" s="71"/>
    </row>
    <row r="179" spans="23:28">
      <c r="AB179" s="71"/>
    </row>
    <row r="180" spans="23:28">
      <c r="AB180" s="71"/>
    </row>
    <row r="181" spans="23:28">
      <c r="W181" s="72"/>
      <c r="AB181" s="71"/>
    </row>
    <row r="182" spans="23:28">
      <c r="W182" s="72"/>
      <c r="AB182" s="71"/>
    </row>
    <row r="183" spans="23:28">
      <c r="W183" s="72"/>
    </row>
    <row r="185" spans="23:28">
      <c r="AB185" s="71"/>
    </row>
    <row r="186" spans="23:28">
      <c r="AB186" s="71"/>
    </row>
    <row r="187" spans="23:28">
      <c r="AB187" s="71"/>
    </row>
    <row r="188" spans="23:28">
      <c r="AB188" s="71"/>
    </row>
    <row r="189" spans="23:28">
      <c r="AB189" s="71"/>
    </row>
    <row r="190" spans="23:28">
      <c r="W190" s="72"/>
      <c r="AB190" s="71"/>
    </row>
    <row r="191" spans="23:28">
      <c r="W191" s="72"/>
    </row>
    <row r="192" spans="23:28">
      <c r="W192" s="72"/>
    </row>
    <row r="199" spans="23:23">
      <c r="W199" s="72"/>
    </row>
    <row r="200" spans="23:23">
      <c r="W200" s="72"/>
    </row>
    <row r="201" spans="23:23">
      <c r="W201" s="72"/>
    </row>
    <row r="211" spans="23:23">
      <c r="W211" s="72"/>
    </row>
    <row r="212" spans="23:23">
      <c r="W212" s="72"/>
    </row>
    <row r="213" spans="23:23">
      <c r="W213" s="72"/>
    </row>
    <row r="220" spans="23:23">
      <c r="W220" s="72"/>
    </row>
    <row r="221" spans="23:23">
      <c r="W221" s="72"/>
    </row>
    <row r="222" spans="23:23">
      <c r="W222" s="72"/>
    </row>
    <row r="229" spans="23:23">
      <c r="W229" s="72"/>
    </row>
    <row r="230" spans="23:23">
      <c r="W230" s="72"/>
    </row>
    <row r="231" spans="23:23">
      <c r="W231" s="72"/>
    </row>
    <row r="241" spans="23:23">
      <c r="W241" s="72"/>
    </row>
    <row r="242" spans="23:23">
      <c r="W242" s="72"/>
    </row>
    <row r="243" spans="23:23">
      <c r="W243" s="72"/>
    </row>
    <row r="250" spans="23:23">
      <c r="W250" s="72"/>
    </row>
    <row r="251" spans="23:23">
      <c r="W251" s="72"/>
    </row>
    <row r="252" spans="23:23">
      <c r="W252" s="72"/>
    </row>
    <row r="259" spans="23:23">
      <c r="W259" s="72"/>
    </row>
    <row r="260" spans="23:23">
      <c r="W260" s="72"/>
    </row>
    <row r="261" spans="23:23">
      <c r="W26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40" val="1" numFmtId="9"/>
      <inputCells r="F41" val="2" numFmtId="9"/>
      <inputCells r="F42" val="1.25" numFmtId="9"/>
      <inputCells r="F46" val="1" numFmtId="9"/>
      <inputCells r="F47" val="0.4" numFmtId="9"/>
      <inputCells r="F48" val="1" numFmtId="9"/>
      <inputCells r="F61" val="1" numFmtId="9"/>
      <inputCells r="F39" val="2.5" numFmtId="9"/>
      <inputCells r="G39" val="2" numFmtId="9"/>
      <inputCells r="F6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39" val="1" numFmtId="9"/>
      <inputCells r="F40" val="1" numFmtId="9"/>
      <inputCells r="F41" val="1" numFmtId="9"/>
      <inputCells r="F42" val="1" numFmtId="9"/>
      <inputCells r="F46" val="1" numFmtId="9"/>
      <inputCells r="F47" val="1" numFmtId="9"/>
      <inputCells r="F48" val="1" numFmtId="9"/>
      <inputCells r="F61" val="1" numFmtId="9"/>
      <inputCells r="G39" val="1" numFmtId="9"/>
      <inputCells r="F67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51" priority="81" operator="equal">
      <formula>16</formula>
    </cfRule>
    <cfRule type="cellIs" dxfId="350" priority="82" operator="equal">
      <formula>15</formula>
    </cfRule>
    <cfRule type="cellIs" dxfId="349" priority="83" operator="equal">
      <formula>14</formula>
    </cfRule>
    <cfRule type="cellIs" dxfId="348" priority="84" operator="equal">
      <formula>13</formula>
    </cfRule>
    <cfRule type="cellIs" dxfId="347" priority="85" operator="equal">
      <formula>12</formula>
    </cfRule>
    <cfRule type="cellIs" dxfId="346" priority="86" operator="equal">
      <formula>11</formula>
    </cfRule>
    <cfRule type="cellIs" dxfId="345" priority="87" operator="equal">
      <formula>10</formula>
    </cfRule>
    <cfRule type="cellIs" dxfId="344" priority="88" operator="equal">
      <formula>9</formula>
    </cfRule>
    <cfRule type="cellIs" dxfId="343" priority="89" operator="equal">
      <formula>8</formula>
    </cfRule>
    <cfRule type="cellIs" dxfId="342" priority="90" operator="equal">
      <formula>7</formula>
    </cfRule>
    <cfRule type="cellIs" dxfId="341" priority="91" operator="equal">
      <formula>6</formula>
    </cfRule>
    <cfRule type="cellIs" dxfId="340" priority="92" operator="equal">
      <formula>5</formula>
    </cfRule>
    <cfRule type="cellIs" dxfId="339" priority="93" operator="equal">
      <formula>4</formula>
    </cfRule>
    <cfRule type="cellIs" dxfId="338" priority="94" operator="equal">
      <formula>3</formula>
    </cfRule>
    <cfRule type="cellIs" dxfId="337" priority="95" operator="equal">
      <formula>2</formula>
    </cfRule>
    <cfRule type="cellIs" dxfId="336" priority="96" operator="equal">
      <formula>1</formula>
    </cfRule>
  </conditionalFormatting>
  <conditionalFormatting sqref="N31">
    <cfRule type="cellIs" dxfId="335" priority="65" operator="equal">
      <formula>16</formula>
    </cfRule>
    <cfRule type="cellIs" dxfId="334" priority="66" operator="equal">
      <formula>15</formula>
    </cfRule>
    <cfRule type="cellIs" dxfId="333" priority="67" operator="equal">
      <formula>14</formula>
    </cfRule>
    <cfRule type="cellIs" dxfId="332" priority="68" operator="equal">
      <formula>13</formula>
    </cfRule>
    <cfRule type="cellIs" dxfId="331" priority="69" operator="equal">
      <formula>12</formula>
    </cfRule>
    <cfRule type="cellIs" dxfId="330" priority="70" operator="equal">
      <formula>11</formula>
    </cfRule>
    <cfRule type="cellIs" dxfId="329" priority="71" operator="equal">
      <formula>10</formula>
    </cfRule>
    <cfRule type="cellIs" dxfId="328" priority="72" operator="equal">
      <formula>9</formula>
    </cfRule>
    <cfRule type="cellIs" dxfId="327" priority="73" operator="equal">
      <formula>8</formula>
    </cfRule>
    <cfRule type="cellIs" dxfId="326" priority="74" operator="equal">
      <formula>7</formula>
    </cfRule>
    <cfRule type="cellIs" dxfId="325" priority="75" operator="equal">
      <formula>6</formula>
    </cfRule>
    <cfRule type="cellIs" dxfId="324" priority="76" operator="equal">
      <formula>5</formula>
    </cfRule>
    <cfRule type="cellIs" dxfId="323" priority="77" operator="equal">
      <formula>4</formula>
    </cfRule>
    <cfRule type="cellIs" dxfId="322" priority="78" operator="equal">
      <formula>3</formula>
    </cfRule>
    <cfRule type="cellIs" dxfId="321" priority="79" operator="equal">
      <formula>2</formula>
    </cfRule>
    <cfRule type="cellIs" dxfId="320" priority="80" operator="equal">
      <formula>1</formula>
    </cfRule>
  </conditionalFormatting>
  <conditionalFormatting sqref="N105:N111">
    <cfRule type="cellIs" dxfId="319" priority="49" operator="equal">
      <formula>16</formula>
    </cfRule>
    <cfRule type="cellIs" dxfId="318" priority="50" operator="equal">
      <formula>15</formula>
    </cfRule>
    <cfRule type="cellIs" dxfId="317" priority="51" operator="equal">
      <formula>14</formula>
    </cfRule>
    <cfRule type="cellIs" dxfId="316" priority="52" operator="equal">
      <formula>13</formula>
    </cfRule>
    <cfRule type="cellIs" dxfId="315" priority="53" operator="equal">
      <formula>12</formula>
    </cfRule>
    <cfRule type="cellIs" dxfId="314" priority="54" operator="equal">
      <formula>11</formula>
    </cfRule>
    <cfRule type="cellIs" dxfId="313" priority="55" operator="equal">
      <formula>10</formula>
    </cfRule>
    <cfRule type="cellIs" dxfId="312" priority="56" operator="equal">
      <formula>9</formula>
    </cfRule>
    <cfRule type="cellIs" dxfId="311" priority="57" operator="equal">
      <formula>8</formula>
    </cfRule>
    <cfRule type="cellIs" dxfId="310" priority="58" operator="equal">
      <formula>7</formula>
    </cfRule>
    <cfRule type="cellIs" dxfId="309" priority="59" operator="equal">
      <formula>6</formula>
    </cfRule>
    <cfRule type="cellIs" dxfId="308" priority="60" operator="equal">
      <formula>5</formula>
    </cfRule>
    <cfRule type="cellIs" dxfId="307" priority="61" operator="equal">
      <formula>4</formula>
    </cfRule>
    <cfRule type="cellIs" dxfId="306" priority="62" operator="equal">
      <formula>3</formula>
    </cfRule>
    <cfRule type="cellIs" dxfId="305" priority="63" operator="equal">
      <formula>2</formula>
    </cfRule>
    <cfRule type="cellIs" dxfId="304" priority="64" operator="equal">
      <formula>1</formula>
    </cfRule>
  </conditionalFormatting>
  <conditionalFormatting sqref="N88:N101">
    <cfRule type="cellIs" dxfId="303" priority="33" operator="equal">
      <formula>16</formula>
    </cfRule>
    <cfRule type="cellIs" dxfId="302" priority="34" operator="equal">
      <formula>15</formula>
    </cfRule>
    <cfRule type="cellIs" dxfId="301" priority="35" operator="equal">
      <formula>14</formula>
    </cfRule>
    <cfRule type="cellIs" dxfId="300" priority="36" operator="equal">
      <formula>13</formula>
    </cfRule>
    <cfRule type="cellIs" dxfId="299" priority="37" operator="equal">
      <formula>12</formula>
    </cfRule>
    <cfRule type="cellIs" dxfId="298" priority="38" operator="equal">
      <formula>11</formula>
    </cfRule>
    <cfRule type="cellIs" dxfId="297" priority="39" operator="equal">
      <formula>10</formula>
    </cfRule>
    <cfRule type="cellIs" dxfId="296" priority="40" operator="equal">
      <formula>9</formula>
    </cfRule>
    <cfRule type="cellIs" dxfId="295" priority="41" operator="equal">
      <formula>8</formula>
    </cfRule>
    <cfRule type="cellIs" dxfId="294" priority="42" operator="equal">
      <formula>7</formula>
    </cfRule>
    <cfRule type="cellIs" dxfId="293" priority="43" operator="equal">
      <formula>6</formula>
    </cfRule>
    <cfRule type="cellIs" dxfId="292" priority="44" operator="equal">
      <formula>5</formula>
    </cfRule>
    <cfRule type="cellIs" dxfId="291" priority="45" operator="equal">
      <formula>4</formula>
    </cfRule>
    <cfRule type="cellIs" dxfId="290" priority="46" operator="equal">
      <formula>3</formula>
    </cfRule>
    <cfRule type="cellIs" dxfId="289" priority="47" operator="equal">
      <formula>2</formula>
    </cfRule>
    <cfRule type="cellIs" dxfId="288" priority="48" operator="equal">
      <formula>1</formula>
    </cfRule>
  </conditionalFormatting>
  <conditionalFormatting sqref="N102:N104">
    <cfRule type="cellIs" dxfId="287" priority="17" operator="equal">
      <formula>16</formula>
    </cfRule>
    <cfRule type="cellIs" dxfId="286" priority="18" operator="equal">
      <formula>15</formula>
    </cfRule>
    <cfRule type="cellIs" dxfId="285" priority="19" operator="equal">
      <formula>14</formula>
    </cfRule>
    <cfRule type="cellIs" dxfId="284" priority="20" operator="equal">
      <formula>13</formula>
    </cfRule>
    <cfRule type="cellIs" dxfId="283" priority="21" operator="equal">
      <formula>12</formula>
    </cfRule>
    <cfRule type="cellIs" dxfId="282" priority="22" operator="equal">
      <formula>11</formula>
    </cfRule>
    <cfRule type="cellIs" dxfId="281" priority="23" operator="equal">
      <formula>10</formula>
    </cfRule>
    <cfRule type="cellIs" dxfId="280" priority="24" operator="equal">
      <formula>9</formula>
    </cfRule>
    <cfRule type="cellIs" dxfId="279" priority="25" operator="equal">
      <formula>8</formula>
    </cfRule>
    <cfRule type="cellIs" dxfId="278" priority="26" operator="equal">
      <formula>7</formula>
    </cfRule>
    <cfRule type="cellIs" dxfId="277" priority="27" operator="equal">
      <formula>6</formula>
    </cfRule>
    <cfRule type="cellIs" dxfId="276" priority="28" operator="equal">
      <formula>5</formula>
    </cfRule>
    <cfRule type="cellIs" dxfId="275" priority="29" operator="equal">
      <formula>4</formula>
    </cfRule>
    <cfRule type="cellIs" dxfId="274" priority="30" operator="equal">
      <formula>3</formula>
    </cfRule>
    <cfRule type="cellIs" dxfId="273" priority="31" operator="equal">
      <formula>2</formula>
    </cfRule>
    <cfRule type="cellIs" dxfId="272" priority="32" operator="equal">
      <formula>1</formula>
    </cfRule>
  </conditionalFormatting>
  <conditionalFormatting sqref="N6:N30">
    <cfRule type="cellIs" dxfId="271" priority="1" operator="equal">
      <formula>16</formula>
    </cfRule>
    <cfRule type="cellIs" dxfId="270" priority="2" operator="equal">
      <formula>15</formula>
    </cfRule>
    <cfRule type="cellIs" dxfId="269" priority="3" operator="equal">
      <formula>14</formula>
    </cfRule>
    <cfRule type="cellIs" dxfId="268" priority="4" operator="equal">
      <formula>13</formula>
    </cfRule>
    <cfRule type="cellIs" dxfId="267" priority="5" operator="equal">
      <formula>12</formula>
    </cfRule>
    <cfRule type="cellIs" dxfId="266" priority="6" operator="equal">
      <formula>11</formula>
    </cfRule>
    <cfRule type="cellIs" dxfId="265" priority="7" operator="equal">
      <formula>10</formula>
    </cfRule>
    <cfRule type="cellIs" dxfId="264" priority="8" operator="equal">
      <formula>9</formula>
    </cfRule>
    <cfRule type="cellIs" dxfId="263" priority="9" operator="equal">
      <formula>8</formula>
    </cfRule>
    <cfRule type="cellIs" dxfId="262" priority="10" operator="equal">
      <formula>7</formula>
    </cfRule>
    <cfRule type="cellIs" dxfId="261" priority="11" operator="equal">
      <formula>6</formula>
    </cfRule>
    <cfRule type="cellIs" dxfId="260" priority="12" operator="equal">
      <formula>5</formula>
    </cfRule>
    <cfRule type="cellIs" dxfId="259" priority="13" operator="equal">
      <formula>4</formula>
    </cfRule>
    <cfRule type="cellIs" dxfId="258" priority="14" operator="equal">
      <formula>3</formula>
    </cfRule>
    <cfRule type="cellIs" dxfId="257" priority="15" operator="equal">
      <formula>2</formula>
    </cfRule>
    <cfRule type="cellIs" dxfId="25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1"/>
  <sheetViews>
    <sheetView showGridLines="0" workbookViewId="0">
      <pane ySplit="1" topLeftCell="A41" activePane="bottomLeft" state="frozen"/>
      <selection pane="bottomLeft" activeCell="C54" sqref="C54"/>
    </sheetView>
  </sheetViews>
  <sheetFormatPr baseColWidth="10" defaultColWidth="8" defaultRowHeight="15" x14ac:dyDescent="0"/>
  <cols>
    <col min="1" max="1" width="20.14062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14062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</f>
        <v>ZALOI</v>
      </c>
      <c r="B1" s="1"/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09"/>
      <c r="X1" s="113" t="s">
        <v>67</v>
      </c>
      <c r="Y1" s="114" t="s">
        <v>58</v>
      </c>
      <c r="Z1" s="248" t="s">
        <v>105</v>
      </c>
      <c r="AA1" s="249"/>
      <c r="AB1" s="248" t="s">
        <v>106</v>
      </c>
      <c r="AC1" s="249"/>
      <c r="AD1" s="248" t="s">
        <v>107</v>
      </c>
      <c r="AE1" s="249"/>
      <c r="AF1" s="248" t="s">
        <v>108</v>
      </c>
      <c r="AG1" s="249"/>
      <c r="AH1" s="116"/>
      <c r="AI1" s="109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09"/>
      <c r="X2" s="117" t="s">
        <v>59</v>
      </c>
      <c r="Y2" s="114" t="s">
        <v>60</v>
      </c>
      <c r="Z2" s="246" t="s">
        <v>109</v>
      </c>
      <c r="AA2" s="250"/>
      <c r="AB2" s="246" t="s">
        <v>110</v>
      </c>
      <c r="AC2" s="250"/>
      <c r="AD2" s="246" t="s">
        <v>111</v>
      </c>
      <c r="AE2" s="250"/>
      <c r="AF2" s="246" t="s">
        <v>112</v>
      </c>
      <c r="AG2" s="250"/>
      <c r="AH2" s="116"/>
      <c r="AI2" s="109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09"/>
      <c r="X3" s="117"/>
      <c r="Y3" s="114" t="s">
        <v>61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09"/>
      <c r="X4" s="117"/>
      <c r="Y4" s="114" t="s">
        <v>62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1.6091442803771571E-2</v>
      </c>
      <c r="C6" s="215">
        <f>IF([1]Summ!F1044="",0,[1]Summ!F1044)</f>
        <v>0</v>
      </c>
      <c r="D6" s="24">
        <f t="shared" ref="D6:D16" si="0">SUM(B6,C6)</f>
        <v>1.6091442803771571E-2</v>
      </c>
      <c r="E6" s="26">
        <v>1</v>
      </c>
      <c r="F6" s="2" t="s">
        <v>21</v>
      </c>
      <c r="H6" s="24">
        <f t="shared" ref="H6:H31" si="1">(E6*F$7/F$9)</f>
        <v>1</v>
      </c>
      <c r="I6" s="22">
        <f t="shared" ref="I6:I31" si="2">(D6*H6)</f>
        <v>1.6091442803771571E-2</v>
      </c>
      <c r="J6" s="24">
        <f t="shared" ref="J6:J26" si="3">IF(I$34&lt;=1+I$123,I6,B6*H6+J$35*(I6-B6*H6))</f>
        <v>1.6091442803771571E-2</v>
      </c>
      <c r="K6" s="22">
        <f t="shared" ref="K6:K33" si="4">B6</f>
        <v>1.6091442803771571E-2</v>
      </c>
      <c r="L6" s="22">
        <f t="shared" ref="L6:L31" si="5">IF(K6="","",K6*H6)</f>
        <v>1.6091442803771571E-2</v>
      </c>
      <c r="M6" s="227">
        <f t="shared" ref="M6:M33" si="6">J6</f>
        <v>1.6091442803771571E-2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4"/>
      <c r="X6" s="117"/>
      <c r="Y6" s="183">
        <f>M6*4</f>
        <v>6.4365771215086284E-2</v>
      </c>
      <c r="Z6" s="115">
        <v>0.17</v>
      </c>
      <c r="AA6" s="120">
        <f>$M6*Z6*4</f>
        <v>1.0942181106564669E-2</v>
      </c>
      <c r="AB6" s="115">
        <v>0.17</v>
      </c>
      <c r="AC6" s="120">
        <f t="shared" ref="AC6:AC31" si="7">$M6*AB6*4</f>
        <v>1.0942181106564669E-2</v>
      </c>
      <c r="AD6" s="115">
        <v>0.33</v>
      </c>
      <c r="AE6" s="120">
        <f t="shared" ref="AE6:AE31" si="8">$M6*AD6*4</f>
        <v>2.1240704500978473E-2</v>
      </c>
      <c r="AF6" s="121">
        <f>1-SUM(Z6,AB6,AD6)</f>
        <v>0.32999999999999996</v>
      </c>
      <c r="AG6" s="120">
        <f>$M6*AF6*4</f>
        <v>2.124070450097847E-2</v>
      </c>
      <c r="AH6" s="122">
        <f>SUM(Z6,AB6,AD6,AF6)</f>
        <v>1</v>
      </c>
      <c r="AI6" s="183">
        <f>SUM(AA6,AC6,AE6,AG6)/4</f>
        <v>1.6091442803771571E-2</v>
      </c>
      <c r="AJ6" s="119">
        <f>(AA6+AC6)/2</f>
        <v>1.0942181106564669E-2</v>
      </c>
      <c r="AK6" s="118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1.0727628535847715E-2</v>
      </c>
      <c r="C7" s="215">
        <f>IF([1]Summ!F1045="",0,[1]Summ!F1045)</f>
        <v>0</v>
      </c>
      <c r="D7" s="24">
        <f t="shared" si="0"/>
        <v>1.0727628535847715E-2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1.0727628535847715E-2</v>
      </c>
      <c r="J7" s="24">
        <f t="shared" si="3"/>
        <v>1.0727628535847715E-2</v>
      </c>
      <c r="K7" s="22">
        <f t="shared" si="4"/>
        <v>1.0727628535847715E-2</v>
      </c>
      <c r="L7" s="22">
        <f t="shared" si="5"/>
        <v>1.0727628535847715E-2</v>
      </c>
      <c r="M7" s="227">
        <f t="shared" si="6"/>
        <v>1.0727628535847715E-2</v>
      </c>
      <c r="N7" s="232">
        <v>3</v>
      </c>
      <c r="O7" s="2"/>
      <c r="P7" s="22"/>
      <c r="Q7" s="59" t="s">
        <v>71</v>
      </c>
      <c r="R7" s="225">
        <f>IF($B$78=0,0,(SUMIF($N$6:$N$30,$U7,K$6:K$30)+SUMIF($N$88:$N$110,$U7,K$88:K$110))*$I$80*Poor!$B$78/$B$78)</f>
        <v>3118.0618548200514</v>
      </c>
      <c r="S7" s="225">
        <f>IF($B$78=0,0,(SUMIF($N$6:$N$30,$U7,L$6:L$30)+SUMIF($N$88:$N$110,$U7,L$88:L$110))*$I$80*Poor!$B$78/$B$78)</f>
        <v>3118.0618548200514</v>
      </c>
      <c r="T7" s="225">
        <f>IF($B$78=0,0,(SUMIF($N$6:$N$30,$U7,M$6:M$30)+SUMIF($N$88:$N$110,$U7,M$88:M$110))*$I$80*Poor!$B$78/$B$78)</f>
        <v>4466.8420850305465</v>
      </c>
      <c r="U7" s="226">
        <v>1</v>
      </c>
      <c r="V7" s="56"/>
      <c r="W7" s="114"/>
      <c r="X7" s="117"/>
      <c r="Y7" s="183">
        <f t="shared" ref="Y7:Y31" si="9">M7*4</f>
        <v>4.2910514143390859E-2</v>
      </c>
      <c r="Z7" s="124">
        <f>IF($Y7=0,0,AA7/$Y7)</f>
        <v>0</v>
      </c>
      <c r="AA7" s="120">
        <f>IF($X7=1,IF(SUM(AA$6,AA$12:AA$31)&lt;1,IF((1-SUM(AA$6,AA$12:AA$31))*$M7/SUM($M$7*IF($X$7=1,1,0),$M$8*IF($X$8=1,1,0),$M$9*IF($X$9=1,1,0),$M$10*IF($X$10=1,1,0),$M$11*IF($X$11=1,1,0))&lt;Y7,(1-SUM(AA$6,AA$12:AA$31)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$31)&lt;1,IF(SUM(AC$6,AC$12:AC$31)+SUM((Y$7-AA$7)*IF($X$7&lt;3,1,0),(Y$8-AA$8)*IF($X$8&lt;3,1,0),(Y$9-AA$9)*IF($X$9&lt;3,1,0),(Y$10-AA$10)*IF($X$10&lt;3,1,0),(Y$11-AA$11)*IF($X$11&lt;3,1,0))&lt;1,Y7-AA7,IF((1-SUM(AC$6,AC$12:AC$31))*$M7/SUM($M$7*IF($X$7&lt;3,1,0),$M$8*IF($X$8&lt;3,1,0),$M$9*IF($X$9&lt;3,1,0),$M$10*IF($X$10&lt;3,1,0),$M$11*IF($X$11&lt;3,1,0))&lt;Y7-AA7,(1-SUM(AC$6,AC$12:AC$31)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$31)&lt;1,IF(SUM(AE$6:AE$6,AE$12:AE$31)+SUM((Y$7-AA$7-AC$7)*IF($X$7&lt;3,1,0),(Y$8-AA$8-AC$8)*IF($X$8&lt;3,1,0),(Y$9-AA$9-AC$9)*IF($X$9&lt;3,1,0),(Y$10-AA$10-AC$10)*IF($X$10&lt;3,1,0),(Y$11-AA$11-AC$11)*IF($X$11&lt;3,1,0))&lt;1,Y7-AA7-AC7,IF((1-SUM(AE$6:AE$6,AE$12:AE$31))*$M7/SUM($M$7*IF($X$7&lt;4,1,0),$M$8*IF($X$8&lt;4,1,0),$M$9*IF($X$9&lt;4,1,0),$M$10*IF($X$10&lt;4,1,0),$M$11*IF($X$11&lt;4,1,0))&lt;Y7-AA7-AC7,(1-SUM(AE$6:AE$6,AE$12:AE$31))*$M7/SUM($M$7*IF($X$7&lt;4,1,0),$M$8*IF($X$8&lt;4,1,0),$M$9*IF($X$9&lt;4,1,0),$M$10*IF($X$10&lt;4,1,0),$M$11*IF($X$11&lt;4,1,0)),Y7-AA7-AC7)),0),0)</f>
        <v>0</v>
      </c>
      <c r="AF7" s="121">
        <f t="shared" ref="AF7:AF31" si="10">1-SUM(Z7,AB7,AD7)</f>
        <v>1</v>
      </c>
      <c r="AG7" s="120">
        <f t="shared" ref="AG7:AG31" si="11">$M7*AF7*4</f>
        <v>4.2910514143390859E-2</v>
      </c>
      <c r="AH7" s="122">
        <f t="shared" ref="AH7:AH32" si="12">SUM(Z7,AB7,AD7,AF7)</f>
        <v>1</v>
      </c>
      <c r="AI7" s="183">
        <f t="shared" ref="AI7:AI32" si="13">SUM(AA7,AC7,AE7,AG7)/4</f>
        <v>1.0727628535847715E-2</v>
      </c>
      <c r="AJ7" s="119">
        <f t="shared" ref="AJ7:AJ33" si="14">(AA7+AC7)/2</f>
        <v>0</v>
      </c>
      <c r="AK7" s="118">
        <f t="shared" ref="AK7:AK33" si="15">(AE7+AG7)/2</f>
        <v>2.1455257071695429E-2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7">
        <f t="shared" si="6"/>
        <v>0</v>
      </c>
      <c r="N8" s="232">
        <v>3</v>
      </c>
      <c r="O8" s="2"/>
      <c r="P8" s="22"/>
      <c r="Q8" s="59" t="s">
        <v>72</v>
      </c>
      <c r="R8" s="225">
        <f>IF($B$78=0,0,(SUMIF($N$6:$N$30,$U8,K$6:K$30)+SUMIF($N$88:$N$110,$U8,K$88:K$110))*$I$80*Poor!$B$78/$B$78)</f>
        <v>2996</v>
      </c>
      <c r="S8" s="225">
        <f>IF($B$78=0,0,(SUMIF($N$6:$N$30,$U8,L$6:L$30)+SUMIF($N$88:$N$110,$U8,L$88:L$110))*$I$80*Poor!$B$78/$B$78)</f>
        <v>2699.25</v>
      </c>
      <c r="T8" s="225">
        <f>IF($B$78=0,0,(SUMIF($N$6:$N$30,$U8,M$6:M$30)+SUMIF($N$88:$N$110,$U8,M$88:M$110))*$I$80*Poor!$B$78/$B$78)</f>
        <v>0</v>
      </c>
      <c r="U8" s="226">
        <v>2</v>
      </c>
      <c r="V8" s="184"/>
      <c r="W8" s="114"/>
      <c r="X8" s="117"/>
      <c r="Y8" s="183">
        <f t="shared" si="9"/>
        <v>0</v>
      </c>
      <c r="Z8" s="124">
        <f>IF($Y8=0,0,AA8/$Y8)</f>
        <v>0</v>
      </c>
      <c r="AA8" s="120">
        <f>IF($X8=1,IF(SUM(AA$6,AA$12:AA$31)&lt;1,IF((1-SUM(AA$6,AA$12:AA$31))*$M8/SUM($M$7*IF($X$7=1,1,0),$M$8*IF($X$8=1,1,0),$M$9*IF($X$9=1,1,0),$M$10*IF($X$10=1,1,0),$M$11*IF($X$11=1,1,0))&lt;Y8,(1-SUM(AA$6,AA$12:AA$31))*$M8/SUM($M$7*IF($X$7=1,1,0),$M$8*IF($X$8=1,1,0),$M$9*IF($X$9=1,1,0),$M$10*IF($X$10=1,1,0),$M$11*IF($X$11=1,1,0)),Y8),0),0)</f>
        <v>0</v>
      </c>
      <c r="AB8" s="124">
        <f>IF($Y8=0,0,AC8/$Y8)</f>
        <v>0</v>
      </c>
      <c r="AC8" s="120">
        <f>IF($X8&lt;3,IF(SUM(AC$6,AC$12:AC$31)&lt;1,IF(SUM(AC$6,AC$12:AC$31)+SUM((Y$7-AA$7)*IF($X$7&lt;3,1,0),(Y$8-AA$8)*IF($X$8&lt;3,1,0),(Y$9-AA$9)*IF($X$9&lt;3,1,0),(Y$10-AA$10)*IF($X$10&lt;3,1,0),(Y$11-AA$11)*IF($X$11&lt;3,1,0))&lt;1,Y8-AA8,IF((1-SUM(AC$6,AC$12:AC$31))*$M8/SUM($M$7*IF($X$7&lt;3,1,0),$M$8*IF($X$8&lt;3,1,0),$M$9*IF($X$9&lt;3,1,0),$M$10*IF($X$10&lt;3,1,0),$M$11*IF($X$11&lt;3,1,0))&lt;Y8-AA8,(1-SUM(AC$6,AC$12:AC$31))*$M8/SUM($M$7*IF($X$7&lt;3,1,0),$M$8*IF($X$8&lt;3,1,0),$M$9*IF($X$9&lt;3,1,0),$M$10*IF($X$10&lt;3,1,0),$M$11*IF($X$11&lt;3,1,0)),Y8-AA8)),0),0)</f>
        <v>0</v>
      </c>
      <c r="AD8" s="124">
        <f>IF($Y8=0,0,AE8/$Y8)</f>
        <v>0</v>
      </c>
      <c r="AE8" s="120">
        <f>IF($X8&lt;4,IF(SUM(AE$6:AE$6,AE$12:AE$31)&lt;1,IF(SUM(AE$6:AE$6,AE$12:AE$31)+SUM((Y$7-AA$7-AC$7)*IF($X$7&lt;3,1,0),(Y$8-AA$8-AC$8)*IF($X$8&lt;3,1,0),(Y$9-AA$9-AC$9)*IF($X$9&lt;3,1,0),(Y$10-AA$10-AC$10)*IF($X$10&lt;3,1,0),(Y$11-AA$11-AC$11)*IF($X$11&lt;3,1,0))&lt;1,Y8-AA8-AC8,IF((1-SUM(AE$6:AE$6,AE$12:AE$31))*$M8/SUM($M$7*IF($X$7&lt;4,1,0),$M$8*IF($X$8&lt;4,1,0),$M$9*IF($X$9&lt;4,1,0),$M$10*IF($X$10&lt;4,1,0),$M$11*IF($X$11&lt;4,1,0))&lt;Y8-AA8-AC8,(1-SUM(AE$6:AE$6,AE$12:AE$31))*$M8/SUM($M$7*IF($X$7&lt;4,1,0),$M$8*IF($X$8&lt;4,1,0),$M$9*IF($X$9&lt;4,1,0),$M$10*IF($X$10&lt;4,1,0),$M$11*IF($X$11&lt;4,1,0)),Y8-AA8-AC8)),0),0)</f>
        <v>0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3">
        <f t="shared" si="13"/>
        <v>0</v>
      </c>
      <c r="AJ8" s="119">
        <f t="shared" si="14"/>
        <v>0</v>
      </c>
      <c r="AK8" s="118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7">
        <f t="shared" si="6"/>
        <v>4.1666666666666664E-2</v>
      </c>
      <c r="N9" s="232">
        <v>1</v>
      </c>
      <c r="O9" s="2"/>
      <c r="P9" s="22"/>
      <c r="Q9" s="59" t="s">
        <v>73</v>
      </c>
      <c r="R9" s="225">
        <f>IF($B$78=0,0,(SUMIF($N$6:$N$30,$U9,K$6:K$30)+SUMIF($N$88:$N$110,$U9,K$88:K$110))*$I$80*Poor!$B$78/$B$78)</f>
        <v>178.23974005121067</v>
      </c>
      <c r="S9" s="225">
        <f>IF($B$78=0,0,(SUMIF($N$6:$N$30,$U9,L$6:L$30)+SUMIF($N$88:$N$110,$U9,L$88:L$110))*$I$80*Poor!$B$78/$B$78)</f>
        <v>178.23974005121067</v>
      </c>
      <c r="T9" s="225">
        <f>IF($B$78=0,0,(SUMIF($N$6:$N$30,$U9,M$6:M$30)+SUMIF($N$88:$N$110,$U9,M$88:M$110))*$I$80*Poor!$B$78/$B$78)</f>
        <v>178.23974005121067</v>
      </c>
      <c r="U9" s="226">
        <v>3</v>
      </c>
      <c r="V9" s="56"/>
      <c r="W9" s="114"/>
      <c r="X9" s="123">
        <v>4</v>
      </c>
      <c r="Y9" s="183">
        <f t="shared" si="9"/>
        <v>0.16666666666666666</v>
      </c>
      <c r="Z9" s="124">
        <f>IF($Y9=0,0,AA9/$Y9)</f>
        <v>0</v>
      </c>
      <c r="AA9" s="120">
        <f>IF($X9=1,IF(SUM(AA$6,AA$12:AA$31)&lt;1,IF((1-SUM(AA$6,AA$12:AA$31))*$M9/SUM($M$7*IF($X$7=1,1,0),$M$8*IF($X$8=1,1,0),$M$9*IF($X$9=1,1,0),$M$10*IF($X$10=1,1,0),$M$11*IF($X$11=1,1,0))&lt;Y9,(1-SUM(AA$6,AA$12:AA$31))*$M9/SUM($M$7*IF($X$7=1,1,0),$M$8*IF($X$8=1,1,0),$M$9*IF($X$9=1,1,0),$M$10*IF($X$10=1,1,0),$M$11*IF($X$11=1,1,0)),Y9),0),0)</f>
        <v>0</v>
      </c>
      <c r="AB9" s="124">
        <f>IF($Y9=0,0,AC9/$Y9)</f>
        <v>0</v>
      </c>
      <c r="AC9" s="120">
        <f>IF($X9&lt;3,IF(SUM(AC$6,AC$12:AC$31)&lt;1,IF(SUM(AC$6,AC$12:AC$31)+SUM((Y$7-AA$7)*IF($X$7&lt;3,1,0),(Y$8-AA$8)*IF($X$8&lt;3,1,0),(Y$9-AA$9)*IF($X$9&lt;3,1,0),(Y$10-AA$10)*IF($X$10&lt;3,1,0),(Y$11-AA$11)*IF($X$11&lt;3,1,0))&lt;1,Y9-AA9,IF((1-SUM(AC$6,AC$12:AC$31))*$M9/SUM($M$7*IF($X$7&lt;3,1,0),$M$8*IF($X$8&lt;3,1,0),$M$9*IF($X$9&lt;3,1,0),$M$10*IF($X$10&lt;3,1,0),$M$11*IF($X$11&lt;3,1,0))&lt;Y9-AA9,(1-SUM(AC$6,AC$12:AC$31))*$M9/SUM($M$7*IF($X$7&lt;3,1,0),$M$8*IF($X$8&lt;3,1,0),$M$9*IF($X$9&lt;3,1,0),$M$10*IF($X$10&lt;3,1,0),$M$11*IF($X$11&lt;3,1,0)),Y9-AA9)),0),0)</f>
        <v>0</v>
      </c>
      <c r="AD9" s="124">
        <f>IF($Y9=0,0,AE9/$Y9)</f>
        <v>0</v>
      </c>
      <c r="AE9" s="120">
        <f>IF($X9&lt;4,IF(SUM(AE$6:AE$6,AE$12:AE$31)&lt;1,IF(SUM(AE$6:AE$6,AE$12:AE$31)+SUM((Y$7-AA$7-AC$7)*IF($X$7&lt;3,1,0),(Y$8-AA$8-AC$8)*IF($X$8&lt;3,1,0),(Y$9-AA$9-AC$9)*IF($X$9&lt;3,1,0),(Y$10-AA$10-AC$10)*IF($X$10&lt;3,1,0),(Y$11-AA$11-AC$11)*IF($X$11&lt;3,1,0))&lt;1,Y9-AA9-AC9,IF((1-SUM(AE$6:AE$6,AE$12:AE$31))*$M9/SUM($M$7*IF($X$7&lt;4,1,0),$M$8*IF($X$8&lt;4,1,0),$M$9*IF($X$9&lt;4,1,0),$M$10*IF($X$10&lt;4,1,0),$M$11*IF($X$11&lt;4,1,0))&lt;Y9-AA9-AC9,(1-SUM(AE$6:AE$6,AE$12:AE$31))*$M9/SUM($M$7*IF($X$7&lt;4,1,0),$M$8*IF($X$8&lt;4,1,0),$M$9*IF($X$9&lt;4,1,0),$M$10*IF($X$10&lt;4,1,0),$M$11*IF($X$11&lt;4,1,0)),Y9-AA9-AC9)),0),0)</f>
        <v>0</v>
      </c>
      <c r="AF9" s="121">
        <f t="shared" si="10"/>
        <v>1</v>
      </c>
      <c r="AG9" s="120">
        <f t="shared" si="11"/>
        <v>0.16666666666666666</v>
      </c>
      <c r="AH9" s="122">
        <f t="shared" si="12"/>
        <v>1</v>
      </c>
      <c r="AI9" s="183">
        <f t="shared" si="13"/>
        <v>4.1666666666666664E-2</v>
      </c>
      <c r="AJ9" s="119">
        <f t="shared" si="14"/>
        <v>0</v>
      </c>
      <c r="AK9" s="118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0.28051969667318982</v>
      </c>
      <c r="C10" s="215">
        <f>IF([1]Summ!F1048="",0,[1]Summ!F1048)</f>
        <v>5.4076086105675158E-2</v>
      </c>
      <c r="D10" s="24">
        <f t="shared" si="0"/>
        <v>0.33459578277886498</v>
      </c>
      <c r="E10" s="242">
        <v>1</v>
      </c>
      <c r="H10" s="24">
        <f t="shared" si="1"/>
        <v>1</v>
      </c>
      <c r="I10" s="22">
        <f t="shared" si="2"/>
        <v>0.33459578277886498</v>
      </c>
      <c r="J10" s="24">
        <f t="shared" si="3"/>
        <v>0.33459578277886498</v>
      </c>
      <c r="K10" s="22">
        <f t="shared" si="4"/>
        <v>0.28051969667318982</v>
      </c>
      <c r="L10" s="22">
        <f t="shared" si="5"/>
        <v>0.28051969667318982</v>
      </c>
      <c r="M10" s="227">
        <f t="shared" si="6"/>
        <v>0.33459578277886498</v>
      </c>
      <c r="N10" s="232">
        <v>1</v>
      </c>
      <c r="O10" s="2"/>
      <c r="P10" s="22"/>
      <c r="Q10" s="59" t="s">
        <v>74</v>
      </c>
      <c r="R10" s="225">
        <f>IF($B$78=0,0,(SUMIF($N$6:$N$30,$U10,K$6:K$30)+SUMIF($N$88:$N$110,$U10,K$88:K$110))*$I$80*Poor!$B$78/$B$78)</f>
        <v>0</v>
      </c>
      <c r="S10" s="225">
        <f>IF($B$78=0,0,(SUMIF($N$6:$N$30,$U10,L$6:L$30)+SUMIF($N$88:$N$110,$U10,L$88:L$110))*$I$80*Poor!$B$78/$B$78)</f>
        <v>0</v>
      </c>
      <c r="T10" s="225">
        <f>IF($B$78=0,0,(SUMIF($N$6:$N$30,$U10,M$6:M$30)+SUMIF($N$88:$N$110,$U10,M$88:M$110))*$I$80*Poor!$B$78/$B$78)</f>
        <v>0</v>
      </c>
      <c r="U10" s="226">
        <v>4</v>
      </c>
      <c r="V10" s="56"/>
      <c r="W10" s="114"/>
      <c r="X10" s="123">
        <v>1</v>
      </c>
      <c r="Y10" s="183">
        <f t="shared" si="9"/>
        <v>1.3383831311154599</v>
      </c>
      <c r="Z10" s="124">
        <f>IF($Y10=0,0,AA10/$Y10)</f>
        <v>0</v>
      </c>
      <c r="AA10" s="120">
        <f>IF($X10=1,IF(SUM(AA$6,AA$12:AA$31)&lt;1,IF((1-SUM(AA$6,AA$12:AA$31))*$M10/SUM($M$7*IF($X$7=1,1,0),$M$8*IF($X$8=1,1,0),$M$9*IF($X$9=1,1,0),$M$10*IF($X$10=1,1,0),$M$11*IF($X$11=1,1,0))&lt;Y10,(1-SUM(AA$6,AA$12:AA$31))*$M10/SUM($M$7*IF($X$7=1,1,0),$M$8*IF($X$8=1,1,0),$M$9*IF($X$9=1,1,0),$M$10*IF($X$10=1,1,0),$M$11*IF($X$11=1,1,0)),Y10),0),0)</f>
        <v>0</v>
      </c>
      <c r="AB10" s="124">
        <f>IF($Y10=0,0,AC10/$Y10)</f>
        <v>0</v>
      </c>
      <c r="AC10" s="120">
        <f>IF($X10&lt;3,IF(SUM(AC$6,AC$12:AC$31)&lt;1,IF(SUM(AC$6,AC$12:AC$31)+SUM((Y$7-AA$7)*IF($X$7&lt;3,1,0),(Y$8-AA$8)*IF($X$8&lt;3,1,0),(Y$9-AA$9)*IF($X$9&lt;3,1,0),(Y$10-AA$10)*IF($X$10&lt;3,1,0),(Y$11-AA$11)*IF($X$11&lt;3,1,0))&lt;1,Y10-AA10,IF((1-SUM(AC$6,AC$12:AC$31))*$M10/SUM($M$7*IF($X$7&lt;3,1,0),$M$8*IF($X$8&lt;3,1,0),$M$9*IF($X$9&lt;3,1,0),$M$10*IF($X$10&lt;3,1,0),$M$11*IF($X$11&lt;3,1,0))&lt;Y10-AA10,(1-SUM(AC$6,AC$12:AC$31))*$M10/SUM($M$7*IF($X$7&lt;3,1,0),$M$8*IF($X$8&lt;3,1,0),$M$9*IF($X$9&lt;3,1,0),$M$10*IF($X$10&lt;3,1,0),$M$11*IF($X$11&lt;3,1,0)),Y10-AA10)),0),0)</f>
        <v>0</v>
      </c>
      <c r="AD10" s="124">
        <f>IF($Y10=0,0,AE10/$Y10)</f>
        <v>0</v>
      </c>
      <c r="AE10" s="120">
        <f>IF($X10&lt;4,IF(SUM(AE$6:AE$6,AE$12:AE$31)&lt;1,IF(SUM(AE$6:AE$6,AE$12:AE$31)+SUM((Y$7-AA$7-AC$7)*IF($X$7&lt;3,1,0),(Y$8-AA$8-AC$8)*IF($X$8&lt;3,1,0),(Y$9-AA$9-AC$9)*IF($X$9&lt;3,1,0),(Y$10-AA$10-AC$10)*IF($X$10&lt;3,1,0),(Y$11-AA$11-AC$11)*IF($X$11&lt;3,1,0))&lt;1,Y10-AA10-AC10,IF((1-SUM(AE$6:AE$6,AE$12:AE$31))*$M10/SUM($M$7*IF($X$7&lt;4,1,0),$M$8*IF($X$8&lt;4,1,0),$M$9*IF($X$9&lt;4,1,0),$M$10*IF($X$10&lt;4,1,0),$M$11*IF($X$11&lt;4,1,0))&lt;Y10-AA10-AC10,(1-SUM(AE$6:AE$6,AE$12:AE$31))*$M10/SUM($M$7*IF($X$7&lt;4,1,0),$M$8*IF($X$8&lt;4,1,0),$M$9*IF($X$9&lt;4,1,0),$M$10*IF($X$10&lt;4,1,0),$M$11*IF($X$11&lt;4,1,0)),Y10-AA10-AC10)),0),0)</f>
        <v>0</v>
      </c>
      <c r="AF10" s="121">
        <f t="shared" si="10"/>
        <v>1</v>
      </c>
      <c r="AG10" s="120">
        <f t="shared" si="11"/>
        <v>1.3383831311154599</v>
      </c>
      <c r="AH10" s="122">
        <f t="shared" si="12"/>
        <v>1</v>
      </c>
      <c r="AI10" s="183">
        <f t="shared" si="13"/>
        <v>0.33459578277886498</v>
      </c>
      <c r="AJ10" s="119">
        <f t="shared" si="14"/>
        <v>0</v>
      </c>
      <c r="AK10" s="118">
        <f t="shared" si="15"/>
        <v>0.66919156555772996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5.0696050524817647E-2</v>
      </c>
      <c r="C11" s="215">
        <f>IF([1]Summ!F1049="",0,[1]Summ!F1049)</f>
        <v>5.4075787226472154E-2</v>
      </c>
      <c r="D11" s="24">
        <f t="shared" si="0"/>
        <v>0.1047718377512898</v>
      </c>
      <c r="E11" s="26">
        <v>1</v>
      </c>
      <c r="H11" s="24">
        <f t="shared" si="1"/>
        <v>1</v>
      </c>
      <c r="I11" s="22">
        <f t="shared" si="2"/>
        <v>0.1047718377512898</v>
      </c>
      <c r="J11" s="24">
        <f t="shared" si="3"/>
        <v>0.1047718377512898</v>
      </c>
      <c r="K11" s="22">
        <f t="shared" si="4"/>
        <v>5.0696050524817647E-2</v>
      </c>
      <c r="L11" s="22">
        <f t="shared" si="5"/>
        <v>5.0696050524817647E-2</v>
      </c>
      <c r="M11" s="227">
        <f t="shared" si="6"/>
        <v>0.1047718377512898</v>
      </c>
      <c r="N11" s="232">
        <v>1</v>
      </c>
      <c r="O11" s="2"/>
      <c r="P11" s="22"/>
      <c r="Q11" s="59" t="s">
        <v>75</v>
      </c>
      <c r="R11" s="225">
        <f>IF($B$78=0,0,(SUMIF($N$6:$N$30,$U11,K$6:K$30)+SUMIF($N$88:$N$110,$U11,K$88:K$110))*$I$80*Poor!$B$78/$B$78)</f>
        <v>2240</v>
      </c>
      <c r="S11" s="225">
        <f>IF($B$78=0,0,(SUMIF($N$6:$N$30,$U11,L$6:L$30)+SUMIF($N$88:$N$110,$U11,L$88:L$110))*$I$80*Poor!$B$78/$B$78)</f>
        <v>2060</v>
      </c>
      <c r="T11" s="225">
        <f>IF($B$78=0,0,(SUMIF($N$6:$N$30,$U11,M$6:M$30)+SUMIF($N$88:$N$110,$U11,M$88:M$110))*$I$80*Poor!$B$78/$B$78)</f>
        <v>2060</v>
      </c>
      <c r="U11" s="226">
        <v>5</v>
      </c>
      <c r="V11" s="56"/>
      <c r="W11" s="114"/>
      <c r="X11" s="123">
        <v>1</v>
      </c>
      <c r="Y11" s="183">
        <f t="shared" si="9"/>
        <v>0.4190873510051592</v>
      </c>
      <c r="Z11" s="124">
        <f>IF($Y11=0,0,AA11/$Y11)</f>
        <v>0</v>
      </c>
      <c r="AA11" s="120">
        <f>IF($X11=1,IF(SUM(AA$6,AA$12:AA$31)&lt;1,IF((1-SUM(AA$6,AA$12:AA$31))*$M11/SUM($M$7*IF($X$7=1,1,0),$M$8*IF($X$8=1,1,0),$M$9*IF($X$9=1,1,0),$M$10*IF($X$10=1,1,0),$M$11*IF($X$11=1,1,0))&lt;Y11,(1-SUM(AA$6,AA$12:AA$31))*$M11/SUM($M$7*IF($X$7=1,1,0),$M$8*IF($X$8=1,1,0),$M$9*IF($X$9=1,1,0),$M$10*IF($X$10=1,1,0),$M$11*IF($X$11=1,1,0)),Y11),0),0)</f>
        <v>0</v>
      </c>
      <c r="AB11" s="124">
        <f>IF($Y11=0,0,AC11/$Y11)</f>
        <v>0</v>
      </c>
      <c r="AC11" s="120">
        <f>IF($X11&lt;3,IF(SUM(AC$6,AC$12:AC$31)&lt;1,IF(SUM(AC$6,AC$12:AC$31)+SUM((Y$7-AA$7)*IF($X$7&lt;3,1,0),(Y$8-AA$8)*IF($X$8&lt;3,1,0),(Y$9-AA$9)*IF($X$9&lt;3,1,0),(Y$10-AA$10)*IF($X$10&lt;3,1,0),(Y$11-AA$11)*IF($X$11&lt;3,1,0))&lt;1,Y11-AA11,IF((1-SUM(AC$6,AC$12:AC$31))*$M11/SUM($M$7*IF($X$7&lt;3,1,0),$M$8*IF($X$8&lt;3,1,0),$M$9*IF($X$9&lt;3,1,0),$M$10*IF($X$10&lt;3,1,0),$M$11*IF($X$11&lt;3,1,0))&lt;Y11-AA11,(1-SUM(AC$6,AC$12:AC$31))*$M11/SUM($M$7*IF($X$7&lt;3,1,0),$M$8*IF($X$8&lt;3,1,0),$M$9*IF($X$9&lt;3,1,0),$M$10*IF($X$10&lt;3,1,0),$M$11*IF($X$11&lt;3,1,0)),Y11-AA11)),0),0)</f>
        <v>0</v>
      </c>
      <c r="AD11" s="124">
        <f>IF($Y11=0,0,AE11/$Y11)</f>
        <v>0</v>
      </c>
      <c r="AE11" s="120">
        <f>IF($X11&lt;4,IF(SUM(AE$6:AE$6,AE$12:AE$31)&lt;1,IF(SUM(AE$6:AE$6,AE$12:AE$31)+SUM((Y$7-AA$7-AC$7)*IF($X$7&lt;3,1,0),(Y$8-AA$8-AC$8)*IF($X$8&lt;3,1,0),(Y$9-AA$9-AC$9)*IF($X$9&lt;3,1,0),(Y$10-AA$10-AC$10)*IF($X$10&lt;3,1,0),(Y$11-AA$11-AC$11)*IF($X$11&lt;3,1,0))&lt;1,Y11-AA11-AC11,IF((1-SUM(AE$6:AE$6,AE$12:AE$31))*$M11/SUM($M$7*IF($X$7&lt;4,1,0),$M$8*IF($X$8&lt;4,1,0),$M$9*IF($X$9&lt;4,1,0),$M$10*IF($X$10&lt;4,1,0),$M$11*IF($X$11&lt;4,1,0))&lt;Y11-AA11-AC11,(1-SUM(AE$6:AE$6,AE$12:AE$31))*$M11/SUM($M$7*IF($X$7&lt;4,1,0),$M$8*IF($X$8&lt;4,1,0),$M$9*IF($X$9&lt;4,1,0),$M$10*IF($X$10&lt;4,1,0),$M$11*IF($X$11&lt;4,1,0)),Y11-AA11-AC11)),0),0)</f>
        <v>0</v>
      </c>
      <c r="AF11" s="121">
        <f t="shared" si="10"/>
        <v>1</v>
      </c>
      <c r="AG11" s="120">
        <f t="shared" si="11"/>
        <v>0.4190873510051592</v>
      </c>
      <c r="AH11" s="122">
        <f t="shared" si="12"/>
        <v>1</v>
      </c>
      <c r="AI11" s="183">
        <f t="shared" si="13"/>
        <v>0.1047718377512898</v>
      </c>
      <c r="AJ11" s="119">
        <f t="shared" si="14"/>
        <v>0</v>
      </c>
      <c r="AK11" s="118">
        <f t="shared" si="15"/>
        <v>0.2095436755025796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2.5324888809820311E-3</v>
      </c>
      <c r="C12" s="215">
        <f>IF([1]Summ!F1050="",0,[1]Summ!F1050)</f>
        <v>0</v>
      </c>
      <c r="D12" s="24">
        <f t="shared" si="0"/>
        <v>2.5324888809820311E-3</v>
      </c>
      <c r="E12" s="26">
        <v>1</v>
      </c>
      <c r="H12" s="24">
        <f t="shared" si="1"/>
        <v>1</v>
      </c>
      <c r="I12" s="22">
        <f t="shared" si="2"/>
        <v>2.5324888809820311E-3</v>
      </c>
      <c r="J12" s="24">
        <f t="shared" si="3"/>
        <v>2.5324888809820311E-3</v>
      </c>
      <c r="K12" s="22">
        <f t="shared" si="4"/>
        <v>2.5324888809820311E-3</v>
      </c>
      <c r="L12" s="22">
        <f t="shared" si="5"/>
        <v>2.5324888809820311E-3</v>
      </c>
      <c r="M12" s="227">
        <f t="shared" si="6"/>
        <v>2.5324888809820311E-3</v>
      </c>
      <c r="N12" s="232">
        <v>1</v>
      </c>
      <c r="O12" s="2"/>
      <c r="P12" s="22"/>
      <c r="Q12" s="125" t="s">
        <v>124</v>
      </c>
      <c r="R12" s="225">
        <f>IF($B$78=0,0,(SUMIF($N$6:$N$30,$U12,K$6:K$30)+SUMIF($N$88:$N$110,$U12,K$88:K$110))*$I$80*Poor!$B$78/$B$78)</f>
        <v>2609.6000000000008</v>
      </c>
      <c r="S12" s="225">
        <f>IF($B$78=0,0,(SUMIF($N$6:$N$30,$U12,L$6:L$30)+SUMIF($N$88:$N$110,$U12,L$88:L$110))*$I$80*Poor!$B$78/$B$78)</f>
        <v>2114</v>
      </c>
      <c r="T12" s="225">
        <f>IF($B$78=0,0,(SUMIF($N$6:$N$30,$U12,M$6:M$30)+SUMIF($N$88:$N$110,$U12,M$88:M$110))*$I$80*Poor!$B$78/$B$78)</f>
        <v>865.84028625614758</v>
      </c>
      <c r="U12" s="226">
        <v>6</v>
      </c>
      <c r="V12" s="56"/>
      <c r="W12" s="116"/>
      <c r="X12" s="123">
        <v>1</v>
      </c>
      <c r="Y12" s="183">
        <f t="shared" si="9"/>
        <v>1.0129955523928124E-2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6.787070201031844E-3</v>
      </c>
      <c r="AF12" s="121">
        <f>1-SUM(Z12,AB12,AD12)</f>
        <v>0.32999999999999996</v>
      </c>
      <c r="AG12" s="120">
        <f>$M12*AF12*4</f>
        <v>3.3428853228962808E-3</v>
      </c>
      <c r="AH12" s="122">
        <f t="shared" si="12"/>
        <v>1</v>
      </c>
      <c r="AI12" s="183">
        <f t="shared" si="13"/>
        <v>2.5324888809820311E-3</v>
      </c>
      <c r="AJ12" s="119">
        <f t="shared" si="14"/>
        <v>0</v>
      </c>
      <c r="AK12" s="118">
        <f t="shared" si="15"/>
        <v>5.0649777619640622E-3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8.2063812488880998E-3</v>
      </c>
      <c r="C13" s="215">
        <f>IF([1]Summ!F1051="",0,[1]Summ!F1051)</f>
        <v>0</v>
      </c>
      <c r="D13" s="24">
        <f t="shared" si="0"/>
        <v>8.2063812488880998E-3</v>
      </c>
      <c r="E13" s="26">
        <v>1</v>
      </c>
      <c r="H13" s="24">
        <f t="shared" si="1"/>
        <v>1</v>
      </c>
      <c r="I13" s="22">
        <f t="shared" si="2"/>
        <v>8.2063812488880998E-3</v>
      </c>
      <c r="J13" s="24">
        <f t="shared" si="3"/>
        <v>8.2063812488880998E-3</v>
      </c>
      <c r="K13" s="22">
        <f t="shared" si="4"/>
        <v>8.2063812488880998E-3</v>
      </c>
      <c r="L13" s="22">
        <f t="shared" si="5"/>
        <v>8.2063812488880998E-3</v>
      </c>
      <c r="M13" s="228">
        <f t="shared" si="6"/>
        <v>8.2063812488880998E-3</v>
      </c>
      <c r="N13" s="232">
        <v>1</v>
      </c>
      <c r="O13" s="2"/>
      <c r="P13" s="22"/>
      <c r="Q13" s="59" t="s">
        <v>76</v>
      </c>
      <c r="R13" s="225">
        <f>IF($B$78=0,0,(SUMIF($N$6:$N$30,$U13,K$6:K$30)+SUMIF($N$88:$N$110,$U13,K$88:K$110))*$I$80*Poor!$B$78/$B$78)</f>
        <v>16381.670718232048</v>
      </c>
      <c r="S13" s="225">
        <f>IF($B$78=0,0,(SUMIF($N$6:$N$30,$U13,L$6:L$30)+SUMIF($N$88:$N$110,$U13,L$88:L$110))*$I$80*Poor!$B$78/$B$78)</f>
        <v>15741.114024861879</v>
      </c>
      <c r="T13" s="225">
        <f>IF($B$78=0,0,(SUMIF($N$6:$N$30,$U13,M$6:M$30)+SUMIF($N$88:$N$110,$U13,M$88:M$110))*$I$80*Poor!$B$78/$B$78)</f>
        <v>15741.114024861879</v>
      </c>
      <c r="U13" s="226">
        <v>7</v>
      </c>
      <c r="V13" s="56"/>
      <c r="W13" s="109"/>
      <c r="X13" s="123">
        <v>1</v>
      </c>
      <c r="Y13" s="183">
        <f t="shared" si="9"/>
        <v>3.2825524995552399E-2</v>
      </c>
      <c r="Z13" s="115">
        <v>1</v>
      </c>
      <c r="AA13" s="120">
        <f>$M13*Z13*4</f>
        <v>3.2825524995552399E-2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3">
        <f t="shared" si="13"/>
        <v>8.2063812488880998E-3</v>
      </c>
      <c r="AJ13" s="119">
        <f t="shared" si="14"/>
        <v>1.64127624977762E-2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1.2763476249777621E-2</v>
      </c>
      <c r="C14" s="215">
        <f>IF([1]Summ!F1052="",0,[1]Summ!F1052)</f>
        <v>0</v>
      </c>
      <c r="D14" s="24">
        <f t="shared" si="0"/>
        <v>1.2763476249777621E-2</v>
      </c>
      <c r="E14" s="26">
        <v>1</v>
      </c>
      <c r="F14" s="22"/>
      <c r="H14" s="24">
        <f t="shared" si="1"/>
        <v>1</v>
      </c>
      <c r="I14" s="22">
        <f t="shared" si="2"/>
        <v>1.2763476249777621E-2</v>
      </c>
      <c r="J14" s="24">
        <f t="shared" si="3"/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8">
        <f t="shared" si="6"/>
        <v>1.2763476249777621E-2</v>
      </c>
      <c r="N14" s="232">
        <v>1</v>
      </c>
      <c r="O14" s="2"/>
      <c r="P14" s="22"/>
      <c r="Q14" s="125" t="s">
        <v>77</v>
      </c>
      <c r="R14" s="225">
        <f>IF($B$78=0,0,(SUMIF($N$6:$N$30,$U14,K$6:K$30)+SUMIF($N$88:$N$110,$U14,K$88:K$110))*$I$80*Poor!$B$78/$B$78)</f>
        <v>16800</v>
      </c>
      <c r="S14" s="225">
        <f>IF($B$78=0,0,(SUMIF($N$6:$N$30,$U14,L$6:L$30)+SUMIF($N$88:$N$110,$U14,L$88:L$110))*$I$80*Poor!$B$78/$B$78)</f>
        <v>16050</v>
      </c>
      <c r="T14" s="225">
        <f>IF($B$78=0,0,(SUMIF($N$6:$N$30,$U14,M$6:M$30)+SUMIF($N$88:$N$110,$U14,M$88:M$110))*$I$80*Poor!$B$78/$B$78)</f>
        <v>16050</v>
      </c>
      <c r="U14" s="226">
        <v>8</v>
      </c>
      <c r="V14" s="56"/>
      <c r="W14" s="109"/>
      <c r="X14" s="123">
        <v>1</v>
      </c>
      <c r="Y14" s="183">
        <f>M14*4</f>
        <v>5.1053904999110486E-2</v>
      </c>
      <c r="Z14" s="115">
        <v>0</v>
      </c>
      <c r="AA14" s="120">
        <f t="shared" ref="AA14:AA31" si="16">$M14*Z14*4</f>
        <v>0</v>
      </c>
      <c r="AB14" s="115">
        <v>1</v>
      </c>
      <c r="AC14" s="120">
        <f t="shared" si="7"/>
        <v>5.1053904999110486E-2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3">
        <f>SUM(AA14,AC14,AE14,AG14)/4</f>
        <v>1.2763476249777621E-2</v>
      </c>
      <c r="AJ14" s="119">
        <f t="shared" si="14"/>
        <v>2.5526952499555243E-2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2.3336594911937375E-2</v>
      </c>
      <c r="C15" s="215">
        <f>IF([1]Summ!F1053="",0,[1]Summ!F1053)</f>
        <v>5.3037715708948593E-2</v>
      </c>
      <c r="D15" s="24">
        <f t="shared" si="0"/>
        <v>7.6374310620885968E-2</v>
      </c>
      <c r="E15" s="26">
        <v>1</v>
      </c>
      <c r="F15" s="22"/>
      <c r="H15" s="24">
        <f t="shared" si="1"/>
        <v>1</v>
      </c>
      <c r="I15" s="22">
        <f t="shared" si="2"/>
        <v>7.6374310620885968E-2</v>
      </c>
      <c r="J15" s="24">
        <f t="shared" si="3"/>
        <v>7.6374310620885968E-2</v>
      </c>
      <c r="K15" s="22">
        <f t="shared" si="4"/>
        <v>2.3336594911937375E-2</v>
      </c>
      <c r="L15" s="22">
        <f t="shared" si="5"/>
        <v>2.3336594911937375E-2</v>
      </c>
      <c r="M15" s="229">
        <f t="shared" si="6"/>
        <v>7.6374310620885968E-2</v>
      </c>
      <c r="N15" s="232">
        <v>1</v>
      </c>
      <c r="O15" s="2"/>
      <c r="P15" s="22"/>
      <c r="Q15" s="59" t="s">
        <v>127</v>
      </c>
      <c r="R15" s="225">
        <f>IF($B$78=0,0,(SUMIF($N$6:$N$30,$U15,K$6:K$30)+SUMIF($N$88:$N$110,$U15,K$88:K$110))*$I$80*Poor!$B$78/$B$78)</f>
        <v>0</v>
      </c>
      <c r="S15" s="225">
        <f>IF($B$78=0,0,(SUMIF($N$6:$N$30,$U15,L$6:L$30)+SUMIF($N$88:$N$110,$U15,L$88:L$110))*$I$80*Poor!$B$78/$B$78)</f>
        <v>0</v>
      </c>
      <c r="T15" s="225">
        <f>IF($B$78=0,0,(SUMIF($N$6:$N$30,$U15,M$6:M$30)+SUMIF($N$88:$N$110,$U15,M$88:M$110))*$I$80*Poor!$B$78/$B$78)</f>
        <v>0</v>
      </c>
      <c r="U15" s="226">
        <v>9</v>
      </c>
      <c r="V15" s="56"/>
      <c r="W15" s="109"/>
      <c r="X15" s="123">
        <v>1</v>
      </c>
      <c r="Y15" s="183">
        <f t="shared" si="9"/>
        <v>0.30549724248354387</v>
      </c>
      <c r="Z15" s="115">
        <v>0.25</v>
      </c>
      <c r="AA15" s="120">
        <f t="shared" si="16"/>
        <v>7.6374310620885968E-2</v>
      </c>
      <c r="AB15" s="115">
        <v>0.25</v>
      </c>
      <c r="AC15" s="120">
        <f t="shared" si="7"/>
        <v>7.6374310620885968E-2</v>
      </c>
      <c r="AD15" s="115">
        <v>0.25</v>
      </c>
      <c r="AE15" s="120">
        <f t="shared" si="8"/>
        <v>7.6374310620885968E-2</v>
      </c>
      <c r="AF15" s="121">
        <f t="shared" si="10"/>
        <v>0.25</v>
      </c>
      <c r="AG15" s="120">
        <f t="shared" si="11"/>
        <v>7.6374310620885968E-2</v>
      </c>
      <c r="AH15" s="122">
        <f t="shared" si="12"/>
        <v>1</v>
      </c>
      <c r="AI15" s="183">
        <f t="shared" si="13"/>
        <v>7.6374310620885968E-2</v>
      </c>
      <c r="AJ15" s="119">
        <f t="shared" si="14"/>
        <v>7.6374310620885968E-2</v>
      </c>
      <c r="AK15" s="118">
        <f t="shared" si="15"/>
        <v>7.6374310620885968E-2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2.575164561465931E-2</v>
      </c>
      <c r="C16" s="215">
        <f>IF([1]Summ!F1054="",0,[1]Summ!F1054)</f>
        <v>3.862746842198897E-2</v>
      </c>
      <c r="D16" s="24">
        <f t="shared" si="0"/>
        <v>6.4379114036648283E-2</v>
      </c>
      <c r="E16" s="26">
        <v>1</v>
      </c>
      <c r="F16" s="22"/>
      <c r="H16" s="24">
        <f t="shared" si="1"/>
        <v>1</v>
      </c>
      <c r="I16" s="22">
        <f t="shared" si="2"/>
        <v>6.4379114036648283E-2</v>
      </c>
      <c r="J16" s="24">
        <f t="shared" si="3"/>
        <v>6.4379114036648283E-2</v>
      </c>
      <c r="K16" s="22">
        <f t="shared" si="4"/>
        <v>2.575164561465931E-2</v>
      </c>
      <c r="L16" s="22">
        <f t="shared" si="5"/>
        <v>2.575164561465931E-2</v>
      </c>
      <c r="M16" s="227">
        <f t="shared" si="6"/>
        <v>6.4379114036648283E-2</v>
      </c>
      <c r="N16" s="232">
        <v>1</v>
      </c>
      <c r="O16" s="2"/>
      <c r="P16" s="22"/>
      <c r="Q16" s="125" t="s">
        <v>78</v>
      </c>
      <c r="R16" s="225">
        <f>IF($B$78=0,0,(SUMIF($N$6:$N$30,$U16,K$6:K$30)+SUMIF($N$88:$N$110,$U16,K$88:K$110))*$I$80*Poor!$B$78/$B$78)</f>
        <v>7190.4000000000015</v>
      </c>
      <c r="S16" s="225">
        <f>IF($B$78=0,0,(SUMIF($N$6:$N$30,$U16,L$6:L$30)+SUMIF($N$88:$N$110,$U16,L$88:L$110))*$I$80*Poor!$B$78/$B$78)</f>
        <v>7062.0000000000009</v>
      </c>
      <c r="T16" s="225">
        <f>IF($B$78=0,0,(SUMIF($N$6:$N$30,$U16,M$6:M$30)+SUMIF($N$88:$N$110,$U16,M$88:M$110))*$I$80*Poor!$B$78/$B$78)</f>
        <v>8474.4000000000033</v>
      </c>
      <c r="U16" s="226">
        <v>10</v>
      </c>
      <c r="V16" s="56"/>
      <c r="W16" s="109"/>
      <c r="X16" s="123">
        <v>1</v>
      </c>
      <c r="Y16" s="183">
        <f t="shared" si="9"/>
        <v>0.25751645614659313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0.25751645614659313</v>
      </c>
      <c r="AH16" s="122">
        <f t="shared" si="12"/>
        <v>1</v>
      </c>
      <c r="AI16" s="183">
        <f t="shared" si="13"/>
        <v>6.4379114036648283E-2</v>
      </c>
      <c r="AJ16" s="119">
        <f t="shared" si="14"/>
        <v>0</v>
      </c>
      <c r="AK16" s="118">
        <f t="shared" si="15"/>
        <v>0.12875822807329657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2.369017968333037E-2</v>
      </c>
      <c r="C17" s="215">
        <f>IF([1]Summ!F1055="",0,[1]Summ!F1055)</f>
        <v>3.1288916562889138E-3</v>
      </c>
      <c r="D17" s="24">
        <f>SUM(B17,C17)</f>
        <v>2.6819071339619284E-2</v>
      </c>
      <c r="E17" s="26"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si="3"/>
        <v>2.6819071339619284E-2</v>
      </c>
      <c r="K17" s="22">
        <f t="shared" si="4"/>
        <v>2.369017968333037E-2</v>
      </c>
      <c r="L17" s="22">
        <f t="shared" si="5"/>
        <v>2.369017968333037E-2</v>
      </c>
      <c r="M17" s="228">
        <f t="shared" si="6"/>
        <v>2.6819071339619284E-2</v>
      </c>
      <c r="N17" s="232">
        <v>1</v>
      </c>
      <c r="O17" s="2"/>
      <c r="P17" s="22"/>
      <c r="Q17" s="125" t="s">
        <v>125</v>
      </c>
      <c r="R17" s="225">
        <f>IF($B$78=0,0,(SUMIF($N$6:$N$30,$U17,K$6:K$30)+SUMIF($N$88:$N$110,$U17,K$88:K$110))*$I$80*Poor!$B$78/$B$78)</f>
        <v>1075.2000000000003</v>
      </c>
      <c r="S17" s="225">
        <f>IF($B$78=0,0,(SUMIF($N$6:$N$30,$U17,L$6:L$30)+SUMIF($N$88:$N$110,$U17,L$88:L$110))*$I$80*Poor!$B$78/$B$78)</f>
        <v>1008.0000000000001</v>
      </c>
      <c r="T17" s="225">
        <f>IF($B$78=0,0,(SUMIF($N$6:$N$30,$U17,M$6:M$30)+SUMIF($N$88:$N$110,$U17,M$88:M$110))*$I$80*Poor!$B$78/$B$78)</f>
        <v>1008.0000000000001</v>
      </c>
      <c r="U17" s="226">
        <v>11</v>
      </c>
      <c r="V17" s="56"/>
      <c r="W17" s="109"/>
      <c r="X17" s="123">
        <v>1</v>
      </c>
      <c r="Y17" s="183">
        <f t="shared" si="9"/>
        <v>0.10727628535847714</v>
      </c>
      <c r="Z17" s="115">
        <v>0.29409999999999997</v>
      </c>
      <c r="AA17" s="120">
        <f t="shared" si="16"/>
        <v>3.1549955523928121E-2</v>
      </c>
      <c r="AB17" s="115">
        <v>0.17649999999999999</v>
      </c>
      <c r="AC17" s="120">
        <f t="shared" si="7"/>
        <v>1.8934264365771215E-2</v>
      </c>
      <c r="AD17" s="115">
        <v>0.23530000000000001</v>
      </c>
      <c r="AE17" s="120">
        <f t="shared" si="8"/>
        <v>2.5242109944849669E-2</v>
      </c>
      <c r="AF17" s="121">
        <f t="shared" si="10"/>
        <v>0.29410000000000003</v>
      </c>
      <c r="AG17" s="120">
        <f t="shared" si="11"/>
        <v>3.1549955523928128E-2</v>
      </c>
      <c r="AH17" s="122">
        <f t="shared" si="12"/>
        <v>1</v>
      </c>
      <c r="AI17" s="183">
        <f t="shared" si="13"/>
        <v>2.6819071339619284E-2</v>
      </c>
      <c r="AJ17" s="119">
        <f t="shared" si="14"/>
        <v>2.5242109944849669E-2</v>
      </c>
      <c r="AK17" s="118">
        <f t="shared" si="15"/>
        <v>2.8396032734388899E-2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0.05</v>
      </c>
      <c r="D18" s="24">
        <f>SUM(B18,C18)</f>
        <v>0.05</v>
      </c>
      <c r="E18" s="26">
        <v>0.8</v>
      </c>
      <c r="F18" s="22"/>
      <c r="H18" s="24">
        <f t="shared" si="1"/>
        <v>0.8</v>
      </c>
      <c r="I18" s="22">
        <f t="shared" si="2"/>
        <v>4.0000000000000008E-2</v>
      </c>
      <c r="J18" s="24">
        <f t="shared" si="3"/>
        <v>4.0000000000000008E-2</v>
      </c>
      <c r="K18" s="22">
        <f t="shared" si="4"/>
        <v>0</v>
      </c>
      <c r="L18" s="22">
        <f t="shared" si="5"/>
        <v>0</v>
      </c>
      <c r="M18" s="227">
        <f t="shared" si="6"/>
        <v>4.0000000000000008E-2</v>
      </c>
      <c r="N18" s="232">
        <v>6</v>
      </c>
      <c r="O18" s="2"/>
      <c r="P18" s="22"/>
      <c r="Q18" s="59" t="s">
        <v>79</v>
      </c>
      <c r="R18" s="225">
        <f>IF($B$78=0,0,(SUMIF($N$6:$N$30,$U18,K$6:K$30)+SUMIF($N$88:$N$110,$U18,K$88:K$110))*$I$80*Poor!$B$78/$B$78)</f>
        <v>565.1366629594969</v>
      </c>
      <c r="S18" s="225">
        <f>IF($B$78=0,0,(SUMIF($N$6:$N$30,$U18,L$6:L$30)+SUMIF($N$88:$N$110,$U18,L$88:L$110))*$I$80*Poor!$B$78/$B$78)</f>
        <v>565.1366629594969</v>
      </c>
      <c r="T18" s="225">
        <f>IF($B$78=0,0,(SUMIF($N$6:$N$30,$U18,M$6:M$30)+SUMIF($N$88:$N$110,$U18,M$88:M$110))*$I$80*Poor!$B$78/$B$78)</f>
        <v>565.1366629594969</v>
      </c>
      <c r="U18" s="226">
        <v>12</v>
      </c>
      <c r="V18" s="56"/>
      <c r="W18" s="109"/>
      <c r="X18" s="117"/>
      <c r="Y18" s="183">
        <f t="shared" si="9"/>
        <v>0.16000000000000003</v>
      </c>
      <c r="Z18" s="115">
        <v>0.25</v>
      </c>
      <c r="AA18" s="120">
        <f t="shared" si="16"/>
        <v>4.0000000000000008E-2</v>
      </c>
      <c r="AB18" s="115">
        <v>0.25</v>
      </c>
      <c r="AC18" s="120">
        <f t="shared" si="7"/>
        <v>4.0000000000000008E-2</v>
      </c>
      <c r="AD18" s="115">
        <v>0.25</v>
      </c>
      <c r="AE18" s="120">
        <f t="shared" si="8"/>
        <v>4.0000000000000008E-2</v>
      </c>
      <c r="AF18" s="121">
        <f t="shared" si="10"/>
        <v>0.25</v>
      </c>
      <c r="AG18" s="120">
        <f t="shared" si="11"/>
        <v>4.0000000000000008E-2</v>
      </c>
      <c r="AH18" s="122">
        <f t="shared" si="12"/>
        <v>1</v>
      </c>
      <c r="AI18" s="183">
        <f t="shared" si="13"/>
        <v>4.0000000000000008E-2</v>
      </c>
      <c r="AJ18" s="119">
        <f t="shared" si="14"/>
        <v>4.0000000000000008E-2</v>
      </c>
      <c r="AK18" s="118">
        <f t="shared" si="15"/>
        <v>4.0000000000000008E-2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9.1253395303326795E-2</v>
      </c>
      <c r="C19" s="215">
        <f>IF([1]Summ!F1057="",0,[1]Summ!F1057)</f>
        <v>0</v>
      </c>
      <c r="D19" s="24">
        <f>SUM(B19,C19)</f>
        <v>9.1253395303326795E-2</v>
      </c>
      <c r="E19" s="26">
        <v>0.87</v>
      </c>
      <c r="F19" s="22"/>
      <c r="H19" s="24">
        <f t="shared" si="1"/>
        <v>0.87</v>
      </c>
      <c r="I19" s="22">
        <f t="shared" si="2"/>
        <v>7.9390453913894307E-2</v>
      </c>
      <c r="J19" s="24">
        <f t="shared" si="3"/>
        <v>7.9390453913894307E-2</v>
      </c>
      <c r="K19" s="22">
        <f t="shared" si="4"/>
        <v>9.1253395303326795E-2</v>
      </c>
      <c r="L19" s="22">
        <f t="shared" si="5"/>
        <v>7.9390453913894307E-2</v>
      </c>
      <c r="M19" s="229">
        <f t="shared" si="6"/>
        <v>7.9390453913894307E-2</v>
      </c>
      <c r="N19" s="232">
        <v>7</v>
      </c>
      <c r="O19" s="2"/>
      <c r="P19" s="22"/>
      <c r="Q19" s="59" t="s">
        <v>80</v>
      </c>
      <c r="R19" s="225">
        <f>IF($B$78=0,0,(SUMIF($N$6:$N$30,$U19,K$6:K$30)+SUMIF($N$88:$N$110,$U19,K$88:K$110))*$I$80*Poor!$B$78/$B$78)</f>
        <v>53.759233835147242</v>
      </c>
      <c r="S19" s="225">
        <f>IF($B$78=0,0,(SUMIF($N$6:$N$30,$U19,L$6:L$30)+SUMIF($N$88:$N$110,$U19,L$88:L$110))*$I$80*Poor!$B$78/$B$78)</f>
        <v>53.759233835147242</v>
      </c>
      <c r="T19" s="225">
        <f>IF($B$78=0,0,(SUMIF($N$6:$N$30,$U19,M$6:M$30)+SUMIF($N$88:$N$110,$U19,M$88:M$110))*$I$80*Poor!$B$78/$B$78)</f>
        <v>53.759233835147242</v>
      </c>
      <c r="U19" s="226">
        <v>13</v>
      </c>
      <c r="V19" s="56"/>
      <c r="W19" s="109"/>
      <c r="X19" s="117"/>
      <c r="Y19" s="183">
        <f t="shared" si="9"/>
        <v>0.31756181565557723</v>
      </c>
      <c r="Z19" s="115">
        <v>0.25</v>
      </c>
      <c r="AA19" s="120">
        <f t="shared" si="16"/>
        <v>7.9390453913894307E-2</v>
      </c>
      <c r="AB19" s="115">
        <v>0.25</v>
      </c>
      <c r="AC19" s="120">
        <f t="shared" si="7"/>
        <v>7.9390453913894307E-2</v>
      </c>
      <c r="AD19" s="115">
        <v>0.25</v>
      </c>
      <c r="AE19" s="120">
        <f t="shared" si="8"/>
        <v>7.9390453913894307E-2</v>
      </c>
      <c r="AF19" s="121">
        <f t="shared" si="10"/>
        <v>0.25</v>
      </c>
      <c r="AG19" s="120">
        <f t="shared" si="11"/>
        <v>7.9390453913894307E-2</v>
      </c>
      <c r="AH19" s="122">
        <f t="shared" si="12"/>
        <v>1</v>
      </c>
      <c r="AI19" s="183">
        <f t="shared" si="13"/>
        <v>7.9390453913894307E-2</v>
      </c>
      <c r="AJ19" s="119">
        <f t="shared" si="14"/>
        <v>7.9390453913894307E-2</v>
      </c>
      <c r="AK19" s="118">
        <f t="shared" si="15"/>
        <v>7.9390453913894307E-2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Labour: Harvesting</v>
      </c>
      <c r="B20" s="215">
        <f>IF([1]Summ!E1058="",0,[1]Summ!E1058)</f>
        <v>0</v>
      </c>
      <c r="C20" s="215">
        <f>IF([1]Summ!F1058="",0,[1]Summ!F1058)</f>
        <v>0</v>
      </c>
      <c r="D20" s="24">
        <f t="shared" ref="D20:D29" si="17">SUM(B20,C20)</f>
        <v>0</v>
      </c>
      <c r="E20" s="242">
        <v>0.87</v>
      </c>
      <c r="F20" s="22"/>
      <c r="H20" s="24">
        <f t="shared" ref="H20:H29" si="18">(E20*F$7/F$9)</f>
        <v>0.87</v>
      </c>
      <c r="I20" s="22">
        <f t="shared" ref="I20:I29" si="19">(D20*H20)</f>
        <v>0</v>
      </c>
      <c r="J20" s="24">
        <f t="shared" si="3"/>
        <v>0</v>
      </c>
      <c r="K20" s="22">
        <f t="shared" ref="K20:K29" si="20">B20</f>
        <v>0</v>
      </c>
      <c r="L20" s="22">
        <f t="shared" ref="L20:L29" si="21">IF(K20="","",K20*H20)</f>
        <v>0</v>
      </c>
      <c r="M20" s="229">
        <f t="shared" ref="M20:M29" si="22">J20</f>
        <v>0</v>
      </c>
      <c r="N20" s="232">
        <v>7</v>
      </c>
      <c r="O20" s="2"/>
      <c r="P20" s="22"/>
      <c r="Q20" s="59" t="s">
        <v>81</v>
      </c>
      <c r="R20" s="225">
        <f>IF($B$78=0,0,(SUMIF($N$6:$N$30,$U20,K$6:K$30)+SUMIF($N$88:$N$110,$U20,K$88:K$110))*$I$80*Poor!$B$78/$B$78)</f>
        <v>22327.709090909095</v>
      </c>
      <c r="S20" s="225">
        <f>IF($B$78=0,0,(SUMIF($N$6:$N$30,$U20,L$6:L$30)+SUMIF($N$88:$N$110,$U20,L$88:L$110))*$I$80*Poor!$B$78/$B$78)</f>
        <v>22128.354545454553</v>
      </c>
      <c r="T20" s="225">
        <f>IF($B$78=0,0,(SUMIF($N$6:$N$30,$U20,M$6:M$30)+SUMIF($N$88:$N$110,$U20,M$88:M$110))*$I$80*Poor!$B$78/$B$78)</f>
        <v>22128.354545454553</v>
      </c>
      <c r="U20" s="226">
        <v>14</v>
      </c>
      <c r="V20" s="56"/>
      <c r="W20" s="109"/>
      <c r="X20" s="117"/>
      <c r="Y20" s="183">
        <f t="shared" ref="Y20:Y29" si="23">M20*4</f>
        <v>0</v>
      </c>
      <c r="Z20" s="115">
        <v>1.25</v>
      </c>
      <c r="AA20" s="120">
        <f t="shared" ref="AA20:AA29" si="24">$M20*Z20*4</f>
        <v>0</v>
      </c>
      <c r="AB20" s="115">
        <v>1.25</v>
      </c>
      <c r="AC20" s="120">
        <f t="shared" ref="AC20:AC29" si="25">$M20*AB20*4</f>
        <v>0</v>
      </c>
      <c r="AD20" s="115">
        <v>1.25</v>
      </c>
      <c r="AE20" s="120">
        <f t="shared" ref="AE20:AE29" si="26">$M20*AD20*4</f>
        <v>0</v>
      </c>
      <c r="AF20" s="121">
        <f t="shared" ref="AF20:AF29" si="27">1-SUM(Z20,AB20,AD20)</f>
        <v>-2.75</v>
      </c>
      <c r="AG20" s="120">
        <f t="shared" ref="AG20:AG29" si="28">$M20*AF20*4</f>
        <v>0</v>
      </c>
      <c r="AH20" s="122">
        <f t="shared" ref="AH20:AH29" si="29">SUM(Z20,AB20,AD20,AF20)</f>
        <v>1</v>
      </c>
      <c r="AI20" s="183">
        <f t="shared" ref="AI20:AI29" si="30">SUM(AA20,AC20,AE20,AG20)/4</f>
        <v>0</v>
      </c>
      <c r="AJ20" s="119">
        <f t="shared" ref="AJ20:AJ29" si="31">(AA20+AC20)/2</f>
        <v>0</v>
      </c>
      <c r="AK20" s="118">
        <f t="shared" ref="AK20:AK29" si="32">(AE20+AG20)/2</f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Gifts/remittances: cereal</v>
      </c>
      <c r="B21" s="215">
        <f>IF([1]Summ!E1059="",0,[1]Summ!E1059)</f>
        <v>8.0889521437466638E-3</v>
      </c>
      <c r="C21" s="215">
        <f>IF([1]Summ!F1059="",0,[1]Summ!F1059)</f>
        <v>0</v>
      </c>
      <c r="D21" s="24">
        <f t="shared" si="17"/>
        <v>8.0889521437466638E-3</v>
      </c>
      <c r="E21" s="26">
        <v>1</v>
      </c>
      <c r="F21" s="22"/>
      <c r="H21" s="24">
        <f t="shared" si="18"/>
        <v>1</v>
      </c>
      <c r="I21" s="22">
        <f t="shared" si="19"/>
        <v>8.0889521437466638E-3</v>
      </c>
      <c r="J21" s="24">
        <f t="shared" si="3"/>
        <v>8.0889521437466638E-3</v>
      </c>
      <c r="K21" s="22">
        <f t="shared" si="20"/>
        <v>8.0889521437466638E-3</v>
      </c>
      <c r="L21" s="22">
        <f t="shared" si="21"/>
        <v>8.0889521437466638E-3</v>
      </c>
      <c r="M21" s="229">
        <f t="shared" si="22"/>
        <v>8.0889521437466638E-3</v>
      </c>
      <c r="N21" s="232">
        <v>13</v>
      </c>
      <c r="O21" s="2"/>
      <c r="P21" s="22"/>
      <c r="Q21" s="59" t="s">
        <v>82</v>
      </c>
      <c r="R21" s="225">
        <f>IF($B$78=0,0,(SUMIF($N$6:$N$30,$U21,K$6:K$30)+SUMIF($N$88:$N$110,$U21,K$88:K$110))*$I$80*Poor!$B$78/$B$78)</f>
        <v>5376</v>
      </c>
      <c r="S21" s="225">
        <f>IF($B$78=0,0,(SUMIF($N$6:$N$30,$U21,L$6:L$30)+SUMIF($N$88:$N$110,$U21,L$88:L$110))*$I$80*Poor!$B$78/$B$78)</f>
        <v>5040</v>
      </c>
      <c r="T21" s="225">
        <f>IF($B$78=0,0,(SUMIF($N$6:$N$30,$U21,M$6:M$30)+SUMIF($N$88:$N$110,$U21,M$88:M$110))*$I$80*Poor!$B$78/$B$78)</f>
        <v>5040</v>
      </c>
      <c r="U21" s="226">
        <v>15</v>
      </c>
      <c r="V21" s="56"/>
      <c r="W21" s="109"/>
      <c r="X21" s="117"/>
      <c r="Y21" s="183">
        <f t="shared" si="23"/>
        <v>3.2355808574986655E-2</v>
      </c>
      <c r="Z21" s="115">
        <v>2.25</v>
      </c>
      <c r="AA21" s="120">
        <f t="shared" si="24"/>
        <v>7.2800569293719974E-2</v>
      </c>
      <c r="AB21" s="115">
        <v>2.25</v>
      </c>
      <c r="AC21" s="120">
        <f t="shared" si="25"/>
        <v>7.2800569293719974E-2</v>
      </c>
      <c r="AD21" s="115">
        <v>2.25</v>
      </c>
      <c r="AE21" s="120">
        <f t="shared" si="26"/>
        <v>7.2800569293719974E-2</v>
      </c>
      <c r="AF21" s="121">
        <f t="shared" si="27"/>
        <v>-5.75</v>
      </c>
      <c r="AG21" s="120">
        <f t="shared" si="28"/>
        <v>-0.18604589930617327</v>
      </c>
      <c r="AH21" s="122">
        <f t="shared" si="29"/>
        <v>1</v>
      </c>
      <c r="AI21" s="183">
        <f t="shared" si="30"/>
        <v>8.0889521437466638E-3</v>
      </c>
      <c r="AJ21" s="119">
        <f t="shared" si="31"/>
        <v>7.2800569293719974E-2</v>
      </c>
      <c r="AK21" s="118">
        <f t="shared" si="32"/>
        <v>-5.6622665006226647E-2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8"/>
        <v>1</v>
      </c>
      <c r="I22" s="22">
        <f t="shared" si="19"/>
        <v>0</v>
      </c>
      <c r="J22" s="24">
        <f t="shared" si="3"/>
        <v>0</v>
      </c>
      <c r="K22" s="22">
        <f t="shared" si="20"/>
        <v>0</v>
      </c>
      <c r="L22" s="22">
        <f t="shared" si="21"/>
        <v>0</v>
      </c>
      <c r="M22" s="229">
        <f t="shared" si="22"/>
        <v>0</v>
      </c>
      <c r="N22" s="232"/>
      <c r="O22" s="2"/>
      <c r="P22" s="22"/>
      <c r="Q22" s="59" t="s">
        <v>83</v>
      </c>
      <c r="R22" s="225">
        <f>IF($B$78=0,0,(SUMIF($N$6:$N$30,$U22,K$6:K$30)+SUMIF($N$88:$N$110,$U22,K$88:K$110))*$I$80*Poor!$B$78/$B$78)</f>
        <v>0</v>
      </c>
      <c r="S22" s="225">
        <f>IF($B$78=0,0,(SUMIF($N$6:$N$30,$U22,L$6:L$30)+SUMIF($N$88:$N$110,$U22,L$88:L$110))*$I$80*Poor!$B$78/$B$78)</f>
        <v>0</v>
      </c>
      <c r="T22" s="225">
        <f>IF($B$78=0,0,(SUMIF($N$6:$N$30,$U22,M$6:M$30)+SUMIF($N$88:$N$110,$U22,M$88:M$110))*$I$80*Poor!$B$78/$B$78)</f>
        <v>0</v>
      </c>
      <c r="U22" s="226">
        <v>16</v>
      </c>
      <c r="V22" s="56"/>
      <c r="W22" s="109"/>
      <c r="X22" s="117"/>
      <c r="Y22" s="183">
        <f t="shared" si="23"/>
        <v>0</v>
      </c>
      <c r="Z22" s="115">
        <v>3.25</v>
      </c>
      <c r="AA22" s="120">
        <f t="shared" si="24"/>
        <v>0</v>
      </c>
      <c r="AB22" s="115">
        <v>3.25</v>
      </c>
      <c r="AC22" s="120">
        <f t="shared" si="25"/>
        <v>0</v>
      </c>
      <c r="AD22" s="115">
        <v>3.25</v>
      </c>
      <c r="AE22" s="120">
        <f t="shared" si="26"/>
        <v>0</v>
      </c>
      <c r="AF22" s="121">
        <f t="shared" si="27"/>
        <v>-8.75</v>
      </c>
      <c r="AG22" s="120">
        <f t="shared" si="28"/>
        <v>0</v>
      </c>
      <c r="AH22" s="122">
        <f t="shared" si="29"/>
        <v>1</v>
      </c>
      <c r="AI22" s="183">
        <f t="shared" si="30"/>
        <v>0</v>
      </c>
      <c r="AJ22" s="119">
        <f t="shared" si="31"/>
        <v>0</v>
      </c>
      <c r="AK22" s="118">
        <f t="shared" si="32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8"/>
        <v>1</v>
      </c>
      <c r="I23" s="22">
        <f t="shared" si="19"/>
        <v>0</v>
      </c>
      <c r="J23" s="24">
        <f t="shared" si="3"/>
        <v>0</v>
      </c>
      <c r="K23" s="22">
        <f t="shared" si="20"/>
        <v>0</v>
      </c>
      <c r="L23" s="22">
        <f t="shared" si="21"/>
        <v>0</v>
      </c>
      <c r="M23" s="229">
        <f t="shared" si="22"/>
        <v>0</v>
      </c>
      <c r="N23" s="232"/>
      <c r="O23" s="2"/>
      <c r="P23" s="22"/>
      <c r="Q23" s="170" t="s">
        <v>100</v>
      </c>
      <c r="R23" s="178">
        <f>SUM(R7:R22)</f>
        <v>80911.777300807051</v>
      </c>
      <c r="S23" s="178">
        <f>SUM(S7:S22)</f>
        <v>77817.916061982338</v>
      </c>
      <c r="T23" s="178">
        <f>SUM(T7:T22)</f>
        <v>76631.686578448978</v>
      </c>
      <c r="U23" s="56"/>
      <c r="V23" s="56"/>
      <c r="W23" s="109"/>
      <c r="X23" s="117"/>
      <c r="Y23" s="183">
        <f t="shared" si="23"/>
        <v>0</v>
      </c>
      <c r="Z23" s="115">
        <v>4.25</v>
      </c>
      <c r="AA23" s="120">
        <f t="shared" si="24"/>
        <v>0</v>
      </c>
      <c r="AB23" s="115">
        <v>4.25</v>
      </c>
      <c r="AC23" s="120">
        <f t="shared" si="25"/>
        <v>0</v>
      </c>
      <c r="AD23" s="115">
        <v>4.25</v>
      </c>
      <c r="AE23" s="120">
        <f t="shared" si="26"/>
        <v>0</v>
      </c>
      <c r="AF23" s="121">
        <f t="shared" si="27"/>
        <v>-11.75</v>
      </c>
      <c r="AG23" s="120">
        <f t="shared" si="28"/>
        <v>0</v>
      </c>
      <c r="AH23" s="122">
        <f t="shared" si="29"/>
        <v>1</v>
      </c>
      <c r="AI23" s="183">
        <f t="shared" si="30"/>
        <v>0</v>
      </c>
      <c r="AJ23" s="119">
        <f t="shared" si="31"/>
        <v>0</v>
      </c>
      <c r="AK23" s="118">
        <f t="shared" si="32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8"/>
        <v>1</v>
      </c>
      <c r="I24" s="22">
        <f t="shared" si="19"/>
        <v>0</v>
      </c>
      <c r="J24" s="24">
        <f t="shared" si="3"/>
        <v>0</v>
      </c>
      <c r="K24" s="22">
        <f t="shared" si="20"/>
        <v>0</v>
      </c>
      <c r="L24" s="22">
        <f t="shared" si="21"/>
        <v>0</v>
      </c>
      <c r="M24" s="229">
        <f t="shared" si="22"/>
        <v>0</v>
      </c>
      <c r="N24" s="232"/>
      <c r="O24" s="2"/>
      <c r="P24" s="22"/>
      <c r="Q24" s="59" t="s">
        <v>136</v>
      </c>
      <c r="R24" s="41">
        <f>IF($B$78=0,0,($B$116*$H$116)+1-($D$31*$H$31)-($D$30*$H$30))*$I$80*Poor!$B$78/$B$78</f>
        <v>29946.919494373287</v>
      </c>
      <c r="S24" s="41">
        <f>IF($B$78=0,0,($B$116*($H$116)+1-($D$31*$H$31)-($D$30*$H$30))*$I$80*Poor!$B$78/$B$78)</f>
        <v>29946.919494373287</v>
      </c>
      <c r="T24" s="41">
        <f>IF($B$78=0,0,($B$116*($H$116)+1-($D$31*$H$31)-($D$30*$H$30))*$I$80*Poor!$B$78/$B$78)</f>
        <v>29946.919494373287</v>
      </c>
      <c r="U24" s="56"/>
      <c r="V24" s="56"/>
      <c r="W24" s="109"/>
      <c r="X24" s="117"/>
      <c r="Y24" s="183">
        <f t="shared" si="23"/>
        <v>0</v>
      </c>
      <c r="Z24" s="115">
        <v>5.25</v>
      </c>
      <c r="AA24" s="120">
        <f t="shared" si="24"/>
        <v>0</v>
      </c>
      <c r="AB24" s="115">
        <v>5.25</v>
      </c>
      <c r="AC24" s="120">
        <f t="shared" si="25"/>
        <v>0</v>
      </c>
      <c r="AD24" s="115">
        <v>5.25</v>
      </c>
      <c r="AE24" s="120">
        <f t="shared" si="26"/>
        <v>0</v>
      </c>
      <c r="AF24" s="121">
        <f t="shared" si="27"/>
        <v>-14.75</v>
      </c>
      <c r="AG24" s="120">
        <f t="shared" si="28"/>
        <v>0</v>
      </c>
      <c r="AH24" s="122">
        <f t="shared" si="29"/>
        <v>1</v>
      </c>
      <c r="AI24" s="183">
        <f t="shared" si="30"/>
        <v>0</v>
      </c>
      <c r="AJ24" s="119">
        <f t="shared" si="31"/>
        <v>0</v>
      </c>
      <c r="AK24" s="118">
        <f t="shared" si="32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8"/>
        <v>1</v>
      </c>
      <c r="I25" s="22">
        <f t="shared" si="19"/>
        <v>0</v>
      </c>
      <c r="J25" s="24">
        <f t="shared" si="3"/>
        <v>0</v>
      </c>
      <c r="K25" s="22">
        <f t="shared" si="20"/>
        <v>0</v>
      </c>
      <c r="L25" s="22">
        <f t="shared" si="21"/>
        <v>0</v>
      </c>
      <c r="M25" s="229">
        <f t="shared" si="22"/>
        <v>0</v>
      </c>
      <c r="N25" s="232"/>
      <c r="O25" s="2"/>
      <c r="P25" s="22"/>
      <c r="Q25" s="141" t="s">
        <v>137</v>
      </c>
      <c r="R25" s="41">
        <f>IF($B$78=0,0,($B$67+$B$68+((1-$D$31)*$B$80))*$H$81*Poor!$B$78/$B$78)</f>
        <v>47026.26053826612</v>
      </c>
      <c r="S25" s="41">
        <f>IF($B$78=0,0,(($B$67*$H$67)+($B$68*$H$68)+((1-($D$31*$H$31))*$I$80))*Poor!$B$78/$B$78)</f>
        <v>46631.699494373293</v>
      </c>
      <c r="T25" s="41">
        <f>IF($B$78=0,0,(($B$67*$H$67)+($B$68*$H$68)+((1-($D$31*$H$31))*$I$80))*Poor!$B$78/$B$78)</f>
        <v>46631.699494373293</v>
      </c>
      <c r="U25" s="56"/>
      <c r="V25" s="56"/>
      <c r="W25" s="109"/>
      <c r="X25" s="117"/>
      <c r="Y25" s="183">
        <f t="shared" si="23"/>
        <v>0</v>
      </c>
      <c r="Z25" s="115">
        <v>6.25</v>
      </c>
      <c r="AA25" s="120">
        <f t="shared" si="24"/>
        <v>0</v>
      </c>
      <c r="AB25" s="115">
        <v>6.25</v>
      </c>
      <c r="AC25" s="120">
        <f t="shared" si="25"/>
        <v>0</v>
      </c>
      <c r="AD25" s="115">
        <v>6.25</v>
      </c>
      <c r="AE25" s="120">
        <f t="shared" si="26"/>
        <v>0</v>
      </c>
      <c r="AF25" s="121">
        <f t="shared" si="27"/>
        <v>-17.75</v>
      </c>
      <c r="AG25" s="120">
        <f t="shared" si="28"/>
        <v>0</v>
      </c>
      <c r="AH25" s="122">
        <f t="shared" si="29"/>
        <v>1</v>
      </c>
      <c r="AI25" s="183">
        <f t="shared" si="30"/>
        <v>0</v>
      </c>
      <c r="AJ25" s="119">
        <f t="shared" si="31"/>
        <v>0</v>
      </c>
      <c r="AK25" s="118">
        <f t="shared" si="32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/>
      </c>
      <c r="B26" s="215">
        <f>IF([1]Summ!E1064="",0,[1]Summ!E1064)</f>
        <v>0</v>
      </c>
      <c r="C26" s="215">
        <f>IF([1]Summ!F1064="",0,[1]Summ!F1064)</f>
        <v>0</v>
      </c>
      <c r="D26" s="24">
        <f t="shared" si="17"/>
        <v>0</v>
      </c>
      <c r="E26" s="26">
        <v>1</v>
      </c>
      <c r="F26" s="22"/>
      <c r="H26" s="24">
        <f t="shared" si="18"/>
        <v>1</v>
      </c>
      <c r="I26" s="22">
        <f t="shared" si="19"/>
        <v>0</v>
      </c>
      <c r="J26" s="24">
        <f t="shared" si="3"/>
        <v>0</v>
      </c>
      <c r="K26" s="22">
        <f t="shared" si="20"/>
        <v>0</v>
      </c>
      <c r="L26" s="22">
        <f t="shared" si="21"/>
        <v>0</v>
      </c>
      <c r="M26" s="229">
        <f t="shared" si="22"/>
        <v>0</v>
      </c>
      <c r="N26" s="232"/>
      <c r="O26" s="2"/>
      <c r="P26" s="22"/>
      <c r="Q26" s="59" t="s">
        <v>138</v>
      </c>
      <c r="R26" s="41">
        <f>IF($B$78=0,0,($B$67+$B$68+$B$69+((1-$D$31)*$B$80))*$H$81*Poor!$B$78/$B$78)</f>
        <v>74609.847036350708</v>
      </c>
      <c r="S26" s="41">
        <f>IF($B$78=0,0,(($B$67*$H$67)+($B$68*$H$68)+($B$69*$H$69)+((1-($D$31*$H$31))*$I$80))*Poor!$B$78/$B$78)</f>
        <v>73578.059494373301</v>
      </c>
      <c r="T26" s="41">
        <f>IF($B$78=0,0,(($B$67*$H$67)+($B$68*$H$68)+($B$69*$H$69)+((1-($D$31*$H$31))*$I$80))*Poor!$B$78/$B$78)</f>
        <v>73578.059494373301</v>
      </c>
      <c r="U26" s="56"/>
      <c r="V26" s="56"/>
      <c r="W26" s="109"/>
      <c r="X26" s="117"/>
      <c r="Y26" s="183">
        <f t="shared" si="23"/>
        <v>0</v>
      </c>
      <c r="Z26" s="115">
        <v>7.25</v>
      </c>
      <c r="AA26" s="120">
        <f t="shared" si="24"/>
        <v>0</v>
      </c>
      <c r="AB26" s="115">
        <v>7.25</v>
      </c>
      <c r="AC26" s="120">
        <f t="shared" si="25"/>
        <v>0</v>
      </c>
      <c r="AD26" s="115">
        <v>7.25</v>
      </c>
      <c r="AE26" s="120">
        <f t="shared" si="26"/>
        <v>0</v>
      </c>
      <c r="AF26" s="121">
        <f t="shared" si="27"/>
        <v>-20.75</v>
      </c>
      <c r="AG26" s="120">
        <f t="shared" si="28"/>
        <v>0</v>
      </c>
      <c r="AH26" s="122">
        <f t="shared" si="29"/>
        <v>1</v>
      </c>
      <c r="AI26" s="183">
        <f t="shared" si="30"/>
        <v>0</v>
      </c>
      <c r="AJ26" s="119">
        <f t="shared" si="31"/>
        <v>0</v>
      </c>
      <c r="AK26" s="118">
        <f t="shared" si="32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/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8"/>
        <v>1</v>
      </c>
      <c r="I27" s="22">
        <f t="shared" si="19"/>
        <v>0</v>
      </c>
      <c r="J27" s="24">
        <f>IF(I$34&lt;=1+I$123,I27,B27*H27+J$35*(I27-B27*H27))</f>
        <v>0</v>
      </c>
      <c r="K27" s="22">
        <f t="shared" si="20"/>
        <v>0</v>
      </c>
      <c r="L27" s="22">
        <f t="shared" si="21"/>
        <v>0</v>
      </c>
      <c r="M27" s="229">
        <f t="shared" si="22"/>
        <v>0</v>
      </c>
      <c r="N27" s="232"/>
      <c r="O27" s="2"/>
      <c r="P27" s="22"/>
      <c r="Q27" s="125" t="s">
        <v>139</v>
      </c>
      <c r="R27" s="41">
        <f>IF($B$78=0,0,($B$67+$B$68+$B$69+$B$70+(1-$D$31-$D$30)*$B$80)*$H$81*Poor!$B$78/$B$78)</f>
        <v>78183.3508893939</v>
      </c>
      <c r="S27" s="41">
        <f>IF($B$78=0,0,(($B$67*$H$67)+($B$68*$H$68)+($B$69*$H$69)+($B$70*$H$70)+((1-($D$30*$H$30)-($D$31*$H$31))*$I$80))*Poor!$B$78/$B$78)</f>
        <v>77069.009494373298</v>
      </c>
      <c r="T27" s="41">
        <f>IF($B$78=0,0,(($B$67*$H$67)+($B$68*$H$68)+($B$69*$H$69)+($B$70*$H$70)+((1-($D$30*$H$30)-($D$31*$H$31))*$I$80))*Poor!$B$78/$B$78)</f>
        <v>77069.009494373298</v>
      </c>
      <c r="U27" s="56"/>
      <c r="V27" s="56"/>
      <c r="W27" s="109"/>
      <c r="X27" s="117"/>
      <c r="Y27" s="183">
        <f t="shared" si="23"/>
        <v>0</v>
      </c>
      <c r="Z27" s="115">
        <v>8.25</v>
      </c>
      <c r="AA27" s="120">
        <f t="shared" si="24"/>
        <v>0</v>
      </c>
      <c r="AB27" s="115">
        <v>8.25</v>
      </c>
      <c r="AC27" s="120">
        <f t="shared" si="25"/>
        <v>0</v>
      </c>
      <c r="AD27" s="115">
        <v>8.25</v>
      </c>
      <c r="AE27" s="120">
        <f t="shared" si="26"/>
        <v>0</v>
      </c>
      <c r="AF27" s="121">
        <f t="shared" si="27"/>
        <v>-23.75</v>
      </c>
      <c r="AG27" s="120">
        <f t="shared" si="28"/>
        <v>0</v>
      </c>
      <c r="AH27" s="122">
        <f t="shared" si="29"/>
        <v>1</v>
      </c>
      <c r="AI27" s="183">
        <f t="shared" si="30"/>
        <v>0</v>
      </c>
      <c r="AJ27" s="119">
        <f t="shared" si="31"/>
        <v>0</v>
      </c>
      <c r="AK27" s="118">
        <f t="shared" si="32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Food aid</v>
      </c>
      <c r="B28" s="215">
        <f>IF([1]Summ!E1066="",0,[1]Summ!E1066)</f>
        <v>8.5034013605442174E-2</v>
      </c>
      <c r="C28" s="215">
        <f>IF([1]Summ!F1066="",0,[1]Summ!F1066)</f>
        <v>0</v>
      </c>
      <c r="D28" s="24">
        <f t="shared" si="17"/>
        <v>8.5034013605442174E-2</v>
      </c>
      <c r="E28" s="26">
        <v>1</v>
      </c>
      <c r="F28" s="22"/>
      <c r="H28" s="24">
        <f t="shared" si="18"/>
        <v>1</v>
      </c>
      <c r="I28" s="22">
        <f t="shared" si="19"/>
        <v>8.5034013605442174E-2</v>
      </c>
      <c r="J28" s="24">
        <f t="shared" ref="J28:J29" si="33">IF(I$34&lt;=1+I$123,I28,B28*H28+J$35*(I28-B28*H28))</f>
        <v>8.5034013605442174E-2</v>
      </c>
      <c r="K28" s="22">
        <f t="shared" si="20"/>
        <v>8.5034013605442174E-2</v>
      </c>
      <c r="L28" s="22">
        <f t="shared" si="21"/>
        <v>8.5034013605442174E-2</v>
      </c>
      <c r="M28" s="229">
        <f t="shared" si="22"/>
        <v>8.5034013605442174E-2</v>
      </c>
      <c r="N28" s="232">
        <v>12</v>
      </c>
      <c r="O28" s="2"/>
      <c r="P28" s="22"/>
      <c r="Q28" s="59"/>
      <c r="R28" s="179"/>
      <c r="S28" s="179"/>
      <c r="T28" s="179"/>
      <c r="U28" s="56"/>
      <c r="V28" s="56"/>
      <c r="W28" s="109"/>
      <c r="X28" s="117"/>
      <c r="Y28" s="183">
        <f t="shared" si="23"/>
        <v>0.3401360544217687</v>
      </c>
      <c r="Z28" s="115">
        <v>9.25</v>
      </c>
      <c r="AA28" s="120">
        <f t="shared" si="24"/>
        <v>3.1462585034013606</v>
      </c>
      <c r="AB28" s="115">
        <v>9.25</v>
      </c>
      <c r="AC28" s="120">
        <f t="shared" si="25"/>
        <v>3.1462585034013606</v>
      </c>
      <c r="AD28" s="115">
        <v>9.25</v>
      </c>
      <c r="AE28" s="120">
        <f t="shared" si="26"/>
        <v>3.1462585034013606</v>
      </c>
      <c r="AF28" s="121">
        <f t="shared" si="27"/>
        <v>-26.75</v>
      </c>
      <c r="AG28" s="120">
        <f t="shared" si="28"/>
        <v>-9.0986394557823118</v>
      </c>
      <c r="AH28" s="122">
        <f t="shared" si="29"/>
        <v>1</v>
      </c>
      <c r="AI28" s="183">
        <f t="shared" si="30"/>
        <v>8.5034013605442382E-2</v>
      </c>
      <c r="AJ28" s="119">
        <f t="shared" si="31"/>
        <v>3.1462585034013606</v>
      </c>
      <c r="AK28" s="118">
        <f t="shared" si="32"/>
        <v>-2.9761904761904754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other</v>
      </c>
      <c r="B29" s="215">
        <f>IF([1]Summ!E1067="",0,[1]Summ!E1067)</f>
        <v>2.7554372887386588E-2</v>
      </c>
      <c r="C29" s="215">
        <f>IF([1]Summ!F1067="",0,[1]Summ!F1067)</f>
        <v>-2.7554372887386588E-2</v>
      </c>
      <c r="D29" s="24">
        <f t="shared" si="17"/>
        <v>0</v>
      </c>
      <c r="E29" s="26">
        <v>1</v>
      </c>
      <c r="F29" s="22"/>
      <c r="H29" s="24">
        <f t="shared" si="18"/>
        <v>1</v>
      </c>
      <c r="I29" s="22">
        <f t="shared" si="19"/>
        <v>0</v>
      </c>
      <c r="J29" s="24">
        <f t="shared" si="33"/>
        <v>0</v>
      </c>
      <c r="K29" s="22">
        <f t="shared" si="20"/>
        <v>2.7554372887386588E-2</v>
      </c>
      <c r="L29" s="22">
        <f t="shared" si="21"/>
        <v>2.7554372887386588E-2</v>
      </c>
      <c r="M29" s="229">
        <f t="shared" si="22"/>
        <v>0</v>
      </c>
      <c r="N29" s="232"/>
      <c r="O29" s="2"/>
      <c r="P29" s="22"/>
      <c r="Q29" s="2"/>
      <c r="R29" s="179"/>
      <c r="S29" s="179"/>
      <c r="T29" s="179"/>
      <c r="U29" s="56"/>
      <c r="V29" s="56"/>
      <c r="W29" s="109"/>
      <c r="X29" s="117"/>
      <c r="Y29" s="183">
        <f t="shared" si="23"/>
        <v>0</v>
      </c>
      <c r="Z29" s="115">
        <v>10.25</v>
      </c>
      <c r="AA29" s="120">
        <f t="shared" si="24"/>
        <v>0</v>
      </c>
      <c r="AB29" s="115">
        <v>10.25</v>
      </c>
      <c r="AC29" s="120">
        <f t="shared" si="25"/>
        <v>0</v>
      </c>
      <c r="AD29" s="115">
        <v>10.25</v>
      </c>
      <c r="AE29" s="120">
        <f t="shared" si="26"/>
        <v>0</v>
      </c>
      <c r="AF29" s="121">
        <f t="shared" si="27"/>
        <v>-29.75</v>
      </c>
      <c r="AG29" s="120">
        <f t="shared" si="28"/>
        <v>0</v>
      </c>
      <c r="AH29" s="122">
        <f t="shared" si="29"/>
        <v>1</v>
      </c>
      <c r="AI29" s="183">
        <f t="shared" si="30"/>
        <v>0</v>
      </c>
      <c r="AJ29" s="119">
        <f t="shared" si="31"/>
        <v>0</v>
      </c>
      <c r="AK29" s="118">
        <f t="shared" si="32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>
      <c r="A30" s="85" t="str">
        <f>IF([1]Summ!$A1068="","",[1]Summ!$A1068)</f>
        <v>Purchase - desirable</v>
      </c>
      <c r="B30" s="215">
        <f>IF([1]Summ!E1068="",0,[1]Summ!E1068)</f>
        <v>0</v>
      </c>
      <c r="C30" s="215">
        <f>IF([1]Summ!F1068="",0,[1]Summ!F1068)</f>
        <v>0</v>
      </c>
      <c r="D30" s="24">
        <f>SUM(B30,C30)</f>
        <v>0</v>
      </c>
      <c r="E30" s="26">
        <v>1</v>
      </c>
      <c r="F30" s="22"/>
      <c r="H30" s="24">
        <f t="shared" si="1"/>
        <v>1</v>
      </c>
      <c r="I30" s="22">
        <f t="shared" si="2"/>
        <v>0</v>
      </c>
      <c r="J30" s="24">
        <f>IF(I$34&lt;=1+I123,I30,B30*H30+J$35*(I30-B30*H30))</f>
        <v>0</v>
      </c>
      <c r="K30" s="22">
        <f t="shared" si="4"/>
        <v>0</v>
      </c>
      <c r="L30" s="22">
        <f t="shared" si="5"/>
        <v>0</v>
      </c>
      <c r="M30" s="227">
        <f t="shared" si="6"/>
        <v>0</v>
      </c>
      <c r="N30" s="232"/>
      <c r="O30" s="2"/>
      <c r="P30" s="22"/>
      <c r="Q30" s="59"/>
      <c r="R30" s="179"/>
      <c r="S30" s="179"/>
      <c r="T30" s="179"/>
      <c r="U30" s="56"/>
      <c r="V30" s="56"/>
      <c r="W30" s="109"/>
      <c r="X30" s="117"/>
      <c r="Y30" s="183">
        <f t="shared" si="9"/>
        <v>0</v>
      </c>
      <c r="Z30" s="115">
        <v>0</v>
      </c>
      <c r="AA30" s="120">
        <f t="shared" si="16"/>
        <v>0</v>
      </c>
      <c r="AB30" s="115">
        <v>0</v>
      </c>
      <c r="AC30" s="120">
        <f t="shared" si="7"/>
        <v>0</v>
      </c>
      <c r="AD30" s="115">
        <v>0.5</v>
      </c>
      <c r="AE30" s="120">
        <f t="shared" si="8"/>
        <v>0</v>
      </c>
      <c r="AF30" s="121">
        <f t="shared" si="10"/>
        <v>0.5</v>
      </c>
      <c r="AG30" s="120">
        <f t="shared" si="11"/>
        <v>0</v>
      </c>
      <c r="AH30" s="122">
        <f t="shared" si="12"/>
        <v>1</v>
      </c>
      <c r="AI30" s="183">
        <f t="shared" si="13"/>
        <v>0</v>
      </c>
      <c r="AJ30" s="119">
        <f t="shared" si="14"/>
        <v>0</v>
      </c>
      <c r="AK30" s="118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>
      <c r="A31" s="85" t="str">
        <f>IF([1]Summ!$A1069="","",[1]Summ!$A1069)</f>
        <v>Purchase - fpl non staple</v>
      </c>
      <c r="B31" s="215">
        <f>IF([1]Summ!E1069="",0,[1]Summ!E1069)</f>
        <v>0.12499104585483009</v>
      </c>
      <c r="C31" s="215">
        <f>IF([1]Summ!F1069="",0,[1]Summ!F1069)</f>
        <v>0.25464030167611706</v>
      </c>
      <c r="D31" s="24">
        <f>SUM(B31,C31)</f>
        <v>0.37963134753094718</v>
      </c>
      <c r="E31" s="26">
        <v>1.01</v>
      </c>
      <c r="F31" s="22"/>
      <c r="H31" s="24">
        <f t="shared" si="1"/>
        <v>1.01</v>
      </c>
      <c r="I31" s="22">
        <f t="shared" si="2"/>
        <v>0.38342766100625664</v>
      </c>
      <c r="J31" s="24">
        <f>IF(I$34&lt;=1+I123,I31,B31*H31+J$35*(I31-B31*H31))</f>
        <v>0.38342766100625664</v>
      </c>
      <c r="K31" s="22">
        <f t="shared" si="4"/>
        <v>0.12499104585483009</v>
      </c>
      <c r="L31" s="22">
        <f t="shared" si="5"/>
        <v>0.12624095631337839</v>
      </c>
      <c r="M31" s="227">
        <f t="shared" si="6"/>
        <v>0.38342766100625664</v>
      </c>
      <c r="N31" s="232"/>
      <c r="P31" s="22"/>
      <c r="Q31" s="59"/>
      <c r="R31" s="179"/>
      <c r="S31" s="179"/>
      <c r="T31" s="179"/>
      <c r="U31" s="56"/>
      <c r="V31" s="56"/>
      <c r="W31" s="109"/>
      <c r="X31" s="117"/>
      <c r="Y31" s="183">
        <f t="shared" si="9"/>
        <v>1.5337106440250265</v>
      </c>
      <c r="Z31" s="115">
        <v>0.25</v>
      </c>
      <c r="AA31" s="120">
        <f t="shared" si="16"/>
        <v>0.38342766100625664</v>
      </c>
      <c r="AB31" s="115">
        <v>0.25</v>
      </c>
      <c r="AC31" s="120">
        <f t="shared" si="7"/>
        <v>0.38342766100625664</v>
      </c>
      <c r="AD31" s="115">
        <v>0.25</v>
      </c>
      <c r="AE31" s="120">
        <f t="shared" si="8"/>
        <v>0.38342766100625664</v>
      </c>
      <c r="AF31" s="121">
        <f t="shared" si="10"/>
        <v>0.25</v>
      </c>
      <c r="AG31" s="120">
        <f t="shared" si="11"/>
        <v>0.38342766100625664</v>
      </c>
      <c r="AH31" s="122">
        <f t="shared" si="12"/>
        <v>1</v>
      </c>
      <c r="AI31" s="183">
        <f t="shared" si="13"/>
        <v>0.38342766100625664</v>
      </c>
      <c r="AJ31" s="119">
        <f t="shared" si="14"/>
        <v>0.38342766100625664</v>
      </c>
      <c r="AK31" s="118">
        <f t="shared" si="15"/>
        <v>0.38342766100625664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 thickBot="1">
      <c r="A32" s="85" t="str">
        <f>IF([1]Summ!$A1070="","",[1]Summ!$A1070)</f>
        <v>Purchase - staple</v>
      </c>
      <c r="B32" s="215">
        <f>IF([1]Summ!E1070="",0,[1]Summ!E1070)</f>
        <v>0.64712539405799685</v>
      </c>
      <c r="C32" s="102"/>
      <c r="D32" s="24">
        <f>(D111-B116)</f>
        <v>7.1722625263511119</v>
      </c>
      <c r="E32" s="29">
        <v>1</v>
      </c>
      <c r="F32" s="96"/>
      <c r="G32" s="96"/>
      <c r="H32" s="97">
        <f>(E32*F$7/F$9)</f>
        <v>1</v>
      </c>
      <c r="I32" s="29">
        <f>IF(E32&gt;=1,I111-I116,MIN(I111-I116,B32*H32))</f>
        <v>6.7296141391271185</v>
      </c>
      <c r="J32" s="234">
        <f>IF(I$34&lt;=$B$34,I32,$B$34-SUM(J6:J31))</f>
        <v>0.18516014406401582</v>
      </c>
      <c r="K32" s="22">
        <f t="shared" si="4"/>
        <v>0.64712539405799685</v>
      </c>
      <c r="L32" s="22">
        <f>IF(L116=L111,0,IF(K32="",0,(L111-L116)/(B111-B116)*K32))</f>
        <v>0.60310953193988692</v>
      </c>
      <c r="M32" s="174">
        <f t="shared" si="6"/>
        <v>0.18516014406401582</v>
      </c>
      <c r="N32" s="165" t="s">
        <v>86</v>
      </c>
      <c r="O32" s="2"/>
      <c r="P32" s="22"/>
      <c r="Q32" s="56"/>
      <c r="R32" s="56"/>
      <c r="S32" s="56"/>
      <c r="T32" s="56"/>
      <c r="U32" s="56"/>
      <c r="V32" s="56"/>
      <c r="W32" s="109"/>
      <c r="X32" s="117"/>
      <c r="Y32" s="183">
        <f>M32*4</f>
        <v>0.74064057625606328</v>
      </c>
      <c r="Z32" s="121">
        <f>IF($Y32=0,0,AA32/($Y$32))</f>
        <v>-3.8798430061556295</v>
      </c>
      <c r="AA32" s="187">
        <f>IF(AA76*4/$I$80+SUM(AA6:AA31)&lt;1,AA76*4/$I$80,1-SUM(AA6:AA31))</f>
        <v>-2.8735691598621624</v>
      </c>
      <c r="AB32" s="121">
        <f>IF($Y32=0,0,AC32/($Y$32))</f>
        <v>-3.8874211608305647</v>
      </c>
      <c r="AC32" s="187">
        <f>IF(AC76*4/$I$80+SUM(AC6:AC31)&lt;1,AC76*4/$I$80,1-SUM(AC6:AC31))</f>
        <v>-2.8791818487075638</v>
      </c>
      <c r="AD32" s="121">
        <f>IF($Y32=0,0,AE32/($Y$32))</f>
        <v>-3.8500744818727224</v>
      </c>
      <c r="AE32" s="187">
        <f>IF(AE76*4/$I$80+SUM(AE6:AE31)&lt;1,AE76*4/$I$80,1-SUM(AE6:AE31))</f>
        <v>-2.8515213828829773</v>
      </c>
      <c r="AF32" s="121">
        <f>IF($Y32=0,0,AG32/($Y$32))</f>
        <v>10.024829185911878</v>
      </c>
      <c r="AG32" s="187">
        <f>IF(AG76*4/$I$80+SUM(AG6:AG31)&lt;1,AG76*4/$I$80,1-SUM(AG6:AG31))</f>
        <v>7.4247952651223752</v>
      </c>
      <c r="AH32" s="122">
        <f t="shared" si="12"/>
        <v>-1.5925094629470387</v>
      </c>
      <c r="AI32" s="183">
        <f t="shared" si="13"/>
        <v>-0.29486928158258197</v>
      </c>
      <c r="AJ32" s="119">
        <f t="shared" si="14"/>
        <v>-2.8763755042848631</v>
      </c>
      <c r="AK32" s="118">
        <f t="shared" si="15"/>
        <v>2.2866369411196992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F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V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  <c r="CK32" s="25"/>
    </row>
    <row r="33" spans="1:89" ht="14" customHeight="1" thickBot="1">
      <c r="A33" s="95" t="s">
        <v>57</v>
      </c>
      <c r="B33" s="101" t="str">
        <f>IF(1-$B$34&gt;0,1-$B$34,"")</f>
        <v/>
      </c>
      <c r="C33" s="29"/>
      <c r="D33" s="24"/>
      <c r="E33" s="22"/>
      <c r="F33" s="22"/>
      <c r="H33" s="24"/>
      <c r="I33" s="22"/>
      <c r="J33" s="235">
        <f>($B$34-SUM(J6:J32))</f>
        <v>0</v>
      </c>
      <c r="K33" s="22" t="str">
        <f t="shared" si="4"/>
        <v/>
      </c>
      <c r="L33" s="22">
        <f>(1-SUM(L6:L32))</f>
        <v>-0.42540053259760335</v>
      </c>
      <c r="M33" s="177">
        <f t="shared" si="6"/>
        <v>0</v>
      </c>
      <c r="N33" s="166">
        <f>M33*I80</f>
        <v>0</v>
      </c>
      <c r="P33" s="22"/>
      <c r="Q33" s="59"/>
      <c r="R33" s="222"/>
      <c r="S33" s="222"/>
      <c r="T33" s="222"/>
      <c r="U33" s="56"/>
      <c r="V33" s="56"/>
      <c r="W33" s="128" t="s">
        <v>84</v>
      </c>
      <c r="X33" s="129"/>
      <c r="Y33" s="120">
        <f>M33*4</f>
        <v>0</v>
      </c>
      <c r="Z33" s="130"/>
      <c r="AA33" s="131">
        <f>1-AA34+IF($Y34&lt;0,$Y34/4,0)</f>
        <v>0</v>
      </c>
      <c r="AB33" s="130"/>
      <c r="AC33" s="132">
        <f>1-AC34+IF($Y34&lt;0,$Y34/4,0)</f>
        <v>0</v>
      </c>
      <c r="AD33" s="133"/>
      <c r="AE33" s="132">
        <f>1-AE34+IF($Y34&lt;0,$Y34/4,0)</f>
        <v>0</v>
      </c>
      <c r="AF33" s="133"/>
      <c r="AG33" s="132">
        <f>1-AG34+IF($Y34&lt;0,$Y34/4,0)</f>
        <v>0</v>
      </c>
      <c r="AH33" s="122"/>
      <c r="AI33" s="182">
        <f>SUM(AA33,AC33,AE33,AG33)/4</f>
        <v>0</v>
      </c>
      <c r="AJ33" s="134">
        <f t="shared" si="14"/>
        <v>0</v>
      </c>
      <c r="AK33" s="135">
        <f t="shared" si="15"/>
        <v>0</v>
      </c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F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V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  <c r="CK33" s="25"/>
    </row>
    <row r="34" spans="1:89" ht="14" customHeight="1">
      <c r="A34" s="29" t="s">
        <v>24</v>
      </c>
      <c r="B34" s="29">
        <f>SUM(B6:B32)</f>
        <v>1.4800294256465976</v>
      </c>
      <c r="C34" s="29">
        <f>SUM(C6:C33)</f>
        <v>0.48003187790810425</v>
      </c>
      <c r="D34" s="24">
        <f>SUM(D6:D32)</f>
        <v>8.485198435847817</v>
      </c>
      <c r="E34" s="2"/>
      <c r="F34" s="2"/>
      <c r="H34" s="17"/>
      <c r="I34" s="22">
        <f>SUM(I6:I32)</f>
        <v>8.0244834207097</v>
      </c>
      <c r="J34" s="17"/>
      <c r="L34" s="22">
        <f>SUM(L6:L32)</f>
        <v>1.4254005325976034</v>
      </c>
      <c r="M34" s="23"/>
      <c r="N34" s="56"/>
      <c r="O34" s="2"/>
      <c r="P34" s="22"/>
      <c r="Q34" s="59"/>
      <c r="R34" s="222"/>
      <c r="S34" s="222"/>
      <c r="T34" s="222"/>
      <c r="U34" s="56"/>
      <c r="V34" s="56"/>
      <c r="W34" s="109"/>
      <c r="X34" s="117"/>
      <c r="Y34" s="114">
        <f>SUM(Y6:Y33)</f>
        <v>5.9201177025863903</v>
      </c>
      <c r="Z34" s="136"/>
      <c r="AA34" s="137">
        <f>SUM(AA6:AA32)</f>
        <v>1</v>
      </c>
      <c r="AB34" s="136"/>
      <c r="AC34" s="138">
        <f>SUM(AC6:AC32)</f>
        <v>1</v>
      </c>
      <c r="AD34" s="136"/>
      <c r="AE34" s="138">
        <f>SUM(AE6:AE32)</f>
        <v>1</v>
      </c>
      <c r="AF34" s="136"/>
      <c r="AG34" s="138">
        <f>SUM(AG6:AG32)</f>
        <v>1</v>
      </c>
      <c r="AH34" s="126"/>
      <c r="AI34" s="109"/>
      <c r="AJ34" s="139">
        <f>SUM(AJ6:AJ33)</f>
        <v>1</v>
      </c>
      <c r="AK34" s="140">
        <f>SUM(AK6:AK33)</f>
        <v>1.0000000000000004</v>
      </c>
      <c r="AS34" s="25"/>
      <c r="AT34" s="25"/>
      <c r="AU34" s="25"/>
      <c r="AV34" s="25"/>
      <c r="AW34" s="25"/>
      <c r="AX34" s="25"/>
      <c r="AZ34" s="25"/>
      <c r="BA34" s="25"/>
      <c r="BB34" s="25"/>
      <c r="BC34" s="25"/>
      <c r="BD34" s="25"/>
      <c r="BE34" s="25"/>
      <c r="BI34" s="25"/>
      <c r="BJ34" s="25"/>
      <c r="BK34" s="25"/>
      <c r="BL34" s="25"/>
      <c r="BM34" s="25"/>
      <c r="BN34" s="25"/>
      <c r="BP34" s="25"/>
      <c r="BQ34" s="25"/>
      <c r="BR34" s="25"/>
      <c r="BS34" s="25"/>
      <c r="BT34" s="25"/>
      <c r="BU34" s="25"/>
      <c r="BX34" s="25"/>
      <c r="BY34" s="25"/>
      <c r="BZ34" s="25"/>
      <c r="CA34" s="25"/>
      <c r="CB34" s="25"/>
      <c r="CC34" s="25"/>
      <c r="CE34" s="25"/>
      <c r="CF34" s="25"/>
      <c r="CG34" s="25"/>
      <c r="CH34" s="25"/>
      <c r="CI34" s="25"/>
      <c r="CJ34" s="25"/>
    </row>
    <row r="35" spans="1:89" ht="14" customHeight="1" thickBot="1">
      <c r="A35" s="9"/>
      <c r="B35" s="9"/>
      <c r="C35" s="9"/>
      <c r="D35" s="10"/>
      <c r="E35" s="11"/>
      <c r="F35" s="11"/>
      <c r="G35" s="11"/>
      <c r="H35" s="10"/>
      <c r="I35" s="236" t="s">
        <v>25</v>
      </c>
      <c r="J35" s="237">
        <f>(1+K119*H119-L34-L119)/(I34-L34-L119)</f>
        <v>-6.4549527065000473E-2</v>
      </c>
      <c r="K35" s="14"/>
      <c r="L35" s="11"/>
      <c r="M35" s="30"/>
      <c r="N35" s="167" t="s">
        <v>87</v>
      </c>
      <c r="O35" s="2"/>
      <c r="P35" s="2"/>
      <c r="Q35" s="56"/>
      <c r="R35" s="223"/>
      <c r="S35" s="223"/>
      <c r="T35" s="223"/>
      <c r="U35" s="56"/>
      <c r="V35" s="56"/>
      <c r="W35" s="109"/>
      <c r="X35" s="117"/>
      <c r="Y35" s="109"/>
      <c r="Z35" s="142"/>
      <c r="AA35" s="143"/>
      <c r="AB35" s="142"/>
      <c r="AC35" s="143"/>
      <c r="AD35" s="142"/>
      <c r="AE35" s="143"/>
      <c r="AF35" s="142"/>
      <c r="AG35" s="143"/>
      <c r="AH35" s="109"/>
      <c r="AI35" s="109"/>
      <c r="AJ35" s="142"/>
      <c r="AK35" s="143"/>
      <c r="AS35" s="25"/>
      <c r="AT35" s="25"/>
      <c r="AU35" s="25"/>
      <c r="AV35" s="25"/>
      <c r="AW35" s="25"/>
      <c r="AX35" s="25"/>
      <c r="AZ35" s="25"/>
      <c r="BA35" s="25"/>
      <c r="BB35" s="25"/>
      <c r="BC35" s="25"/>
      <c r="BD35" s="25"/>
      <c r="BE35" s="25"/>
      <c r="BI35" s="25"/>
      <c r="BJ35" s="25"/>
      <c r="BK35" s="25"/>
      <c r="BL35" s="25"/>
      <c r="BM35" s="25"/>
      <c r="BN35" s="25"/>
      <c r="BP35" s="25"/>
      <c r="BQ35" s="25"/>
      <c r="BR35" s="25"/>
      <c r="BS35" s="25"/>
      <c r="BT35" s="25"/>
      <c r="BU35" s="25"/>
      <c r="BX35" s="25"/>
      <c r="BY35" s="25"/>
      <c r="BZ35" s="25"/>
      <c r="CA35" s="25"/>
      <c r="CB35" s="25"/>
      <c r="CC35" s="25"/>
      <c r="CE35" s="25"/>
      <c r="CF35" s="25"/>
      <c r="CG35" s="25"/>
      <c r="CH35" s="25"/>
      <c r="CI35" s="25"/>
      <c r="CJ35" s="25"/>
    </row>
    <row r="36" spans="1:89" ht="15.75" customHeight="1" thickBot="1">
      <c r="A36" s="15" t="s">
        <v>26</v>
      </c>
      <c r="B36" s="1"/>
      <c r="C36" s="1"/>
      <c r="D36" s="31"/>
      <c r="E36" s="32"/>
      <c r="F36" s="32"/>
      <c r="G36" s="32"/>
      <c r="H36" s="31"/>
      <c r="I36" s="2"/>
      <c r="J36" s="33"/>
      <c r="K36" s="34" t="s">
        <v>27</v>
      </c>
      <c r="L36" s="35"/>
      <c r="M36" s="36"/>
      <c r="N36" s="168">
        <f>-(M74*B73)</f>
        <v>3627.601914055952</v>
      </c>
      <c r="O36" s="2"/>
      <c r="P36" s="2"/>
      <c r="Q36" s="59"/>
      <c r="R36" s="222"/>
      <c r="S36" s="222"/>
      <c r="T36" s="222"/>
      <c r="U36" s="56"/>
      <c r="V36" s="56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9" ht="14" customHeight="1">
      <c r="A37" s="1"/>
      <c r="B37" s="1" t="s">
        <v>7</v>
      </c>
      <c r="C37" s="1" t="s">
        <v>8</v>
      </c>
      <c r="D37" s="16" t="s">
        <v>9</v>
      </c>
      <c r="E37" s="19" t="s">
        <v>10</v>
      </c>
      <c r="F37" s="2" t="s">
        <v>28</v>
      </c>
      <c r="G37" s="2" t="s">
        <v>29</v>
      </c>
      <c r="H37" s="16" t="s">
        <v>12</v>
      </c>
      <c r="I37" s="19" t="s">
        <v>13</v>
      </c>
      <c r="J37" s="16" t="s">
        <v>14</v>
      </c>
      <c r="K37" s="37" t="s">
        <v>7</v>
      </c>
      <c r="L37" s="19" t="s">
        <v>15</v>
      </c>
      <c r="M37" s="16" t="s">
        <v>14</v>
      </c>
      <c r="N37" s="2"/>
      <c r="O37" s="2"/>
      <c r="P37" s="2"/>
      <c r="Q37" s="238" t="s">
        <v>141</v>
      </c>
      <c r="R37" s="238">
        <f>IF(R24&gt;R$23,R24-R$23,0)</f>
        <v>0</v>
      </c>
      <c r="S37" s="238">
        <f t="shared" ref="S37:T40" si="34">IF(S24&gt;S$23,S24-S$23,0)</f>
        <v>0</v>
      </c>
      <c r="T37" s="238">
        <f t="shared" si="34"/>
        <v>0</v>
      </c>
      <c r="V37" s="184"/>
      <c r="W37" s="109"/>
      <c r="X37" s="117"/>
      <c r="Y37" s="109"/>
      <c r="Z37" s="144"/>
      <c r="AA37" s="145"/>
      <c r="AB37" s="144"/>
      <c r="AC37" s="145"/>
      <c r="AD37" s="144"/>
      <c r="AE37" s="145"/>
      <c r="AF37" s="144"/>
      <c r="AG37" s="145"/>
      <c r="AH37" s="109"/>
      <c r="AI37" s="109"/>
      <c r="AJ37" s="144"/>
      <c r="AK37" s="145"/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9" ht="14" customHeight="1">
      <c r="A38" s="1" t="s">
        <v>30</v>
      </c>
      <c r="B38" s="1" t="s">
        <v>16</v>
      </c>
      <c r="C38" s="1" t="s">
        <v>17</v>
      </c>
      <c r="D38" s="16" t="s">
        <v>16</v>
      </c>
      <c r="E38" s="19" t="s">
        <v>18</v>
      </c>
      <c r="F38" s="2" t="s">
        <v>31</v>
      </c>
      <c r="G38" s="2" t="s">
        <v>31</v>
      </c>
      <c r="H38" s="16" t="s">
        <v>18</v>
      </c>
      <c r="I38" s="19" t="s">
        <v>16</v>
      </c>
      <c r="J38" s="16" t="s">
        <v>16</v>
      </c>
      <c r="K38" s="37" t="s">
        <v>16</v>
      </c>
      <c r="L38" s="19" t="s">
        <v>19</v>
      </c>
      <c r="M38" s="16" t="s">
        <v>16</v>
      </c>
      <c r="N38" s="2"/>
      <c r="O38" s="2"/>
      <c r="P38" s="2"/>
      <c r="Q38" s="243" t="s">
        <v>142</v>
      </c>
      <c r="R38" s="238">
        <f>IF(R25&gt;R$23,R25-R$23,0)</f>
        <v>0</v>
      </c>
      <c r="S38" s="238">
        <f t="shared" si="34"/>
        <v>0</v>
      </c>
      <c r="T38" s="238">
        <f t="shared" si="34"/>
        <v>0</v>
      </c>
      <c r="V38" s="56"/>
      <c r="W38" s="109"/>
      <c r="X38" s="117"/>
      <c r="Y38" s="109"/>
      <c r="Z38" s="144"/>
      <c r="AA38" s="145"/>
      <c r="AB38" s="144"/>
      <c r="AC38" s="145"/>
      <c r="AD38" s="144"/>
      <c r="AE38" s="145"/>
      <c r="AF38" s="144"/>
      <c r="AG38" s="145"/>
      <c r="AH38" s="109"/>
      <c r="AI38" s="109"/>
      <c r="AJ38" s="144"/>
      <c r="AK38" s="145"/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9" ht="14" customHeight="1">
      <c r="A39" s="85" t="str">
        <f>IF([1]Summ!$A1074="","",[1]Summ!$A1074)</f>
        <v>Pig sales: no sold</v>
      </c>
      <c r="B39" s="216">
        <f>IF([1]Summ!E1074="",0,[1]Summ!E1074)</f>
        <v>2000</v>
      </c>
      <c r="C39" s="216">
        <f>IF([1]Summ!F1074="",0,[1]Summ!F1074)</f>
        <v>0</v>
      </c>
      <c r="D39" s="38">
        <f>SUM(B39,C39)</f>
        <v>2000</v>
      </c>
      <c r="E39" s="26">
        <v>1</v>
      </c>
      <c r="F39" s="26">
        <v>1.03</v>
      </c>
      <c r="G39" s="29">
        <f>IF($B$79=0,0,$AH$79/$B$79)</f>
        <v>1.1200000000000001</v>
      </c>
      <c r="H39" s="24">
        <f t="shared" ref="H39:H61" si="35">(E39*F39)</f>
        <v>1.03</v>
      </c>
      <c r="I39" s="39">
        <f t="shared" ref="I39:I61" si="36">D39*H39</f>
        <v>2060</v>
      </c>
      <c r="J39" s="38">
        <f t="shared" ref="J39:J61" si="37">J88*I$80</f>
        <v>2060</v>
      </c>
      <c r="K39" s="40">
        <f t="shared" ref="K39:K61" si="38">(B39/B$62)</f>
        <v>2.9323167968437609E-2</v>
      </c>
      <c r="L39" s="22">
        <f t="shared" ref="L39:L61" si="39">(K39*H39)</f>
        <v>3.0202863007490737E-2</v>
      </c>
      <c r="M39" s="24">
        <f t="shared" ref="M39:M61" si="40">J39/B$62</f>
        <v>3.0202863007490737E-2</v>
      </c>
      <c r="N39" s="2"/>
      <c r="O39" s="2"/>
      <c r="Q39" s="238" t="s">
        <v>143</v>
      </c>
      <c r="R39" s="238">
        <f>IF(R26&gt;R$23,R26-R$23,0)</f>
        <v>0</v>
      </c>
      <c r="S39" s="238">
        <f t="shared" si="34"/>
        <v>0</v>
      </c>
      <c r="T39" s="238">
        <f t="shared" si="34"/>
        <v>0</v>
      </c>
      <c r="V39" s="56"/>
      <c r="W39" s="114"/>
      <c r="X39" s="117"/>
      <c r="Y39" s="109"/>
      <c r="Z39" s="121">
        <f>IF($J39=0,0,AA39/($J39))</f>
        <v>0</v>
      </c>
      <c r="AA39" s="146">
        <f>IF(SUM(AA$6:AA$31)+(SUM(AA$41:AA$61,-AA$67)/AA$80)&lt;1,IF(SUM(AA$6:AA$31)+(SUM(AA$41:AA$61,$J$39:$J$40,-AA$67)/AA$80)&lt;1,$J39,(AA$80-(SUM(AA$6:AA$31)*AA$80)-SUM(AA$41:AA$61,-AA$67))*($J39/SUM($J$39:$J$40))),0)</f>
        <v>0</v>
      </c>
      <c r="AB39" s="121">
        <f>IF($J39=0,0,AC39/($J39))</f>
        <v>0</v>
      </c>
      <c r="AC39" s="146">
        <f>IF(SUM(AC$6:AC$31)+(SUM(AC$41:AC$61,-AC$67)/AC$80)&lt;1,IF(SUM(AC$6:AC$31)+((SUM(AC$41:AC$61,$J$39:$J$40,-AC$67)-SUM($AA$39:$AA$40))/AC$80)&lt;1,$J39-$AA39,(AC$80-(SUM(AC$6:AC$31)*AC$80)-SUM(AC$41:AC$61,-AC$67))*($J39/SUM($J$39:$J$40))),0)</f>
        <v>0</v>
      </c>
      <c r="AD39" s="121">
        <f>IF($J39=0,0,AE39/($J39))</f>
        <v>0</v>
      </c>
      <c r="AE39" s="146">
        <f>IF(SUM(AE$6:AE$31)+(SUM(AE$41:AE$61,-AE$67)/AE$80)&lt;1,IF(SUM(AE$6:AE$31)+((SUM(AE$41:AE$61,$J$39:$J$40,-AE$67)-SUM($AA$39:$AA$40)-SUM($AC$39:$AC$40))/AE$80)&lt;1,$J39-$AA39-$AC39,(AE$80-(SUM(AE$6:AE$31)*AE$80)-SUM(AE$41:AE$61,-AE$67))*($J39/SUM($J$39:$J$40))),0)</f>
        <v>0</v>
      </c>
      <c r="AF39" s="121">
        <f t="shared" ref="AF39:AF61" si="41">1-SUM(Z39,AB39,AD39)</f>
        <v>1</v>
      </c>
      <c r="AG39" s="146">
        <f>$J39*AF39</f>
        <v>2060</v>
      </c>
      <c r="AH39" s="122">
        <f>SUM(Z39,AB39,AD39,AF39)</f>
        <v>1</v>
      </c>
      <c r="AI39" s="111">
        <f>SUM(AA39,AC39,AE39,AG39)</f>
        <v>2060</v>
      </c>
      <c r="AJ39" s="147">
        <f>(AA39+AC39)</f>
        <v>0</v>
      </c>
      <c r="AK39" s="146">
        <f>(AE39+AG39)</f>
        <v>2060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9" ht="14" customHeight="1">
      <c r="A40" s="85" t="str">
        <f>IF([1]Summ!$A1075="","",[1]Summ!$A1075)</f>
        <v>Cattle sales - local: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ref="D40:D61" si="42">SUM(B40,C40)</f>
        <v>0</v>
      </c>
      <c r="E40" s="26">
        <v>1</v>
      </c>
      <c r="F40" s="26">
        <v>1.1100000000000001</v>
      </c>
      <c r="G40" s="22">
        <f t="shared" ref="G40:G61" si="43">(G$39)</f>
        <v>1.1200000000000001</v>
      </c>
      <c r="H40" s="24">
        <f t="shared" si="35"/>
        <v>1.1100000000000001</v>
      </c>
      <c r="I40" s="39">
        <f t="shared" si="36"/>
        <v>0</v>
      </c>
      <c r="J40" s="38">
        <f t="shared" si="37"/>
        <v>0</v>
      </c>
      <c r="K40" s="40">
        <f t="shared" si="38"/>
        <v>0</v>
      </c>
      <c r="L40" s="22">
        <f t="shared" si="39"/>
        <v>0</v>
      </c>
      <c r="M40" s="24">
        <f t="shared" si="40"/>
        <v>0</v>
      </c>
      <c r="N40" s="2"/>
      <c r="O40" s="2"/>
      <c r="P40" s="2"/>
      <c r="Q40" s="243" t="s">
        <v>144</v>
      </c>
      <c r="R40" s="238">
        <f>IF(R27&gt;R$23,R27-R$23,0)</f>
        <v>0</v>
      </c>
      <c r="S40" s="238">
        <f t="shared" si="34"/>
        <v>0</v>
      </c>
      <c r="T40" s="238">
        <f t="shared" si="34"/>
        <v>437.32291592432011</v>
      </c>
      <c r="V40" s="56"/>
      <c r="W40" s="114"/>
      <c r="X40" s="117"/>
      <c r="Y40" s="109"/>
      <c r="Z40" s="121">
        <f>IF($J40=0,0,AA40/($J40))</f>
        <v>0</v>
      </c>
      <c r="AA40" s="146">
        <f>IF(SUM(AA$6:AA$31)+(SUM(AA$41:AA$61,-AA$67)/AA$80)&lt;1,IF(SUM(AA$6:AA$31)+(SUM(AA$41:AA$61,$J$39:$J$40,-AA$67)/AA$80)&lt;1,$J40,(AA$80-(SUM(AA$6:AA$31)*AA$80)-SUM(AA$41:AA$61,-AA$67))*($J40/SUM($J$39:$J$40))),0)</f>
        <v>0</v>
      </c>
      <c r="AB40" s="121">
        <f>IF($J40=0,0,AC40/($J40))</f>
        <v>0</v>
      </c>
      <c r="AC40" s="146">
        <f>IF(SUM(AC$6:AC$31)+(SUM(AC$42:AC$61,-AC$67)/AC$80)&lt;1,IF(SUM(AC$6:AC$31)+((SUM(AC$42:AC$61,$J$39:$J$43,-AC$67)-SUM($AA$39:$AA$41))/AC$80)&lt;1,$J40-$AA40,(AC$80-(SUM(AC$6:AC$31)*AC$80)-SUM(AC$42:AC$61,-AC$67))*($J40/SUM($J$39:$J$43))),0)</f>
        <v>0</v>
      </c>
      <c r="AD40" s="121">
        <f>IF($J40=0,0,AE40/($J40))</f>
        <v>0</v>
      </c>
      <c r="AE40" s="146">
        <f>IF(SUM(AE$6:AE$31)+(SUM(AE$42:AE$61,-AE$67)/AE$80)&lt;1,IF(SUM(AE$6:AE$31)+((SUM(AE$42:AE$61,$J$39:$J$43,-AE$67)-SUM($AA$39:$AA$41)-SUM($AC$39:$AC$41))/AE$80)&lt;1,$J40-$AA40-$AC40,(AE$80-(SUM(AE$6:AE$31)*AE$80)-SUM(AE$42:AE$61,-AE$67))*($J40/SUM($J$39:$J$43))),0)</f>
        <v>0</v>
      </c>
      <c r="AF40" s="121">
        <f t="shared" si="41"/>
        <v>1</v>
      </c>
      <c r="AG40" s="146">
        <f t="shared" ref="AG40:AG61" si="44">$J40*AF40</f>
        <v>0</v>
      </c>
      <c r="AH40" s="122">
        <f t="shared" ref="AH40:AI55" si="45">SUM(Z40,AB40,AD40,AF40)</f>
        <v>1</v>
      </c>
      <c r="AI40" s="111">
        <f t="shared" si="45"/>
        <v>0</v>
      </c>
      <c r="AJ40" s="147">
        <f t="shared" ref="AJ40:AJ61" si="46">(AA40+AC40)</f>
        <v>0</v>
      </c>
      <c r="AK40" s="146">
        <f t="shared" ref="AK40:AK61" si="47">(AE40+AG40)</f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9" ht="14" customHeight="1">
      <c r="A41" s="85" t="str">
        <f>IF([1]Summ!$A1076="","",[1]Summ!$A1076)</f>
        <v>Goat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2"/>
        <v>0</v>
      </c>
      <c r="E41" s="26">
        <v>1</v>
      </c>
      <c r="F41" s="26">
        <v>1.0900000000000001</v>
      </c>
      <c r="G41" s="22">
        <f t="shared" si="43"/>
        <v>1.1200000000000001</v>
      </c>
      <c r="H41" s="24">
        <f t="shared" si="35"/>
        <v>1.0900000000000001</v>
      </c>
      <c r="I41" s="39">
        <f t="shared" si="36"/>
        <v>0</v>
      </c>
      <c r="J41" s="38">
        <f t="shared" si="37"/>
        <v>0</v>
      </c>
      <c r="K41" s="40">
        <f t="shared" si="38"/>
        <v>0</v>
      </c>
      <c r="L41" s="22">
        <f t="shared" si="39"/>
        <v>0</v>
      </c>
      <c r="M41" s="24">
        <f t="shared" si="40"/>
        <v>0</v>
      </c>
      <c r="N41" s="2"/>
      <c r="O41" s="2"/>
      <c r="P41" s="2"/>
      <c r="V41" s="56"/>
      <c r="W41" s="114"/>
      <c r="X41" s="117">
        <v>1</v>
      </c>
      <c r="Y41" s="109"/>
      <c r="Z41" s="121">
        <f>Z8</f>
        <v>0</v>
      </c>
      <c r="AA41" s="146">
        <f t="shared" ref="AA41:AA61" si="48">$J41*Z41</f>
        <v>0</v>
      </c>
      <c r="AB41" s="121">
        <f>AB8</f>
        <v>0</v>
      </c>
      <c r="AC41" s="146">
        <f t="shared" ref="AC41:AC61" si="49">$J41*AB41</f>
        <v>0</v>
      </c>
      <c r="AD41" s="121">
        <f>AD8</f>
        <v>0</v>
      </c>
      <c r="AE41" s="146">
        <f t="shared" ref="AE41:AE61" si="50">$J41*AD41</f>
        <v>0</v>
      </c>
      <c r="AF41" s="121">
        <f t="shared" si="41"/>
        <v>1</v>
      </c>
      <c r="AG41" s="146">
        <f t="shared" si="44"/>
        <v>0</v>
      </c>
      <c r="AH41" s="122">
        <f t="shared" si="45"/>
        <v>1</v>
      </c>
      <c r="AI41" s="111">
        <f t="shared" si="45"/>
        <v>0</v>
      </c>
      <c r="AJ41" s="147">
        <f t="shared" si="46"/>
        <v>0</v>
      </c>
      <c r="AK41" s="146">
        <f t="shared" si="4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9" ht="14" customHeight="1">
      <c r="A42" s="85" t="str">
        <f>IF([1]Summ!$A1077="","",[1]Summ!$A1077)</f>
        <v>Maize: kg produced</v>
      </c>
      <c r="B42" s="216">
        <f>IF([1]Summ!E1077="",0,[1]Summ!E1077)</f>
        <v>300</v>
      </c>
      <c r="C42" s="216">
        <f>IF([1]Summ!F1077="",0,[1]Summ!F1077)</f>
        <v>-300</v>
      </c>
      <c r="D42" s="38">
        <f t="shared" si="42"/>
        <v>0</v>
      </c>
      <c r="E42" s="75">
        <f>E10</f>
        <v>1</v>
      </c>
      <c r="F42" s="26">
        <v>1.02</v>
      </c>
      <c r="G42" s="22">
        <f t="shared" si="43"/>
        <v>1.1200000000000001</v>
      </c>
      <c r="H42" s="24">
        <f t="shared" si="35"/>
        <v>1.02</v>
      </c>
      <c r="I42" s="39">
        <f t="shared" si="36"/>
        <v>0</v>
      </c>
      <c r="J42" s="38">
        <f t="shared" si="37"/>
        <v>0</v>
      </c>
      <c r="K42" s="40">
        <f t="shared" si="38"/>
        <v>4.3984751952656411E-3</v>
      </c>
      <c r="L42" s="22">
        <f t="shared" si="39"/>
        <v>4.4864446991709538E-3</v>
      </c>
      <c r="M42" s="24">
        <f t="shared" si="40"/>
        <v>0</v>
      </c>
      <c r="N42" s="2"/>
      <c r="O42" s="2"/>
      <c r="P42" s="2"/>
      <c r="V42" s="56"/>
      <c r="W42" s="114"/>
      <c r="X42" s="117">
        <v>1</v>
      </c>
      <c r="Y42" s="109"/>
      <c r="Z42" s="121">
        <f>Z9</f>
        <v>0</v>
      </c>
      <c r="AA42" s="146">
        <f t="shared" si="48"/>
        <v>0</v>
      </c>
      <c r="AB42" s="121">
        <f>AB9</f>
        <v>0</v>
      </c>
      <c r="AC42" s="146">
        <f t="shared" si="49"/>
        <v>0</v>
      </c>
      <c r="AD42" s="121">
        <f>AD9</f>
        <v>0</v>
      </c>
      <c r="AE42" s="146">
        <f t="shared" si="50"/>
        <v>0</v>
      </c>
      <c r="AF42" s="121">
        <f t="shared" si="41"/>
        <v>1</v>
      </c>
      <c r="AG42" s="146">
        <f t="shared" si="44"/>
        <v>0</v>
      </c>
      <c r="AH42" s="122">
        <f t="shared" si="45"/>
        <v>1</v>
      </c>
      <c r="AI42" s="111">
        <f t="shared" si="45"/>
        <v>0</v>
      </c>
      <c r="AJ42" s="147">
        <f t="shared" si="46"/>
        <v>0</v>
      </c>
      <c r="AK42" s="146">
        <f t="shared" si="4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9" ht="14" customHeight="1">
      <c r="A43" s="85" t="str">
        <f>IF([1]Summ!$A1078="","",[1]Summ!$A1078)</f>
        <v>Maize (irrigated): kg produced</v>
      </c>
      <c r="B43" s="216">
        <f>IF([1]Summ!E1078="",0,[1]Summ!E1078)</f>
        <v>300</v>
      </c>
      <c r="C43" s="216">
        <f>IF([1]Summ!F1078="",0,[1]Summ!F1078)</f>
        <v>-300</v>
      </c>
      <c r="D43" s="38">
        <f t="shared" si="42"/>
        <v>0</v>
      </c>
      <c r="E43" s="75">
        <f>E11</f>
        <v>1</v>
      </c>
      <c r="F43" s="26">
        <v>1.02</v>
      </c>
      <c r="G43" s="22">
        <f t="shared" si="43"/>
        <v>1.1200000000000001</v>
      </c>
      <c r="H43" s="24">
        <f t="shared" si="35"/>
        <v>1.02</v>
      </c>
      <c r="I43" s="39">
        <f t="shared" si="36"/>
        <v>0</v>
      </c>
      <c r="J43" s="38">
        <f t="shared" si="37"/>
        <v>0</v>
      </c>
      <c r="K43" s="40">
        <f t="shared" si="38"/>
        <v>4.3984751952656411E-3</v>
      </c>
      <c r="L43" s="22">
        <f t="shared" si="39"/>
        <v>4.4864446991709538E-3</v>
      </c>
      <c r="M43" s="24">
        <f t="shared" si="40"/>
        <v>0</v>
      </c>
      <c r="N43" s="2"/>
      <c r="O43" s="2"/>
      <c r="P43" s="2"/>
      <c r="V43" s="56"/>
      <c r="W43" s="114"/>
      <c r="X43" s="117">
        <v>1</v>
      </c>
      <c r="Y43" s="109"/>
      <c r="Z43" s="121">
        <f>Z11</f>
        <v>0</v>
      </c>
      <c r="AA43" s="146">
        <f t="shared" si="48"/>
        <v>0</v>
      </c>
      <c r="AB43" s="121">
        <f>AB11</f>
        <v>0</v>
      </c>
      <c r="AC43" s="146">
        <f t="shared" si="49"/>
        <v>0</v>
      </c>
      <c r="AD43" s="121">
        <f>AD11</f>
        <v>0</v>
      </c>
      <c r="AE43" s="146">
        <f t="shared" si="50"/>
        <v>0</v>
      </c>
      <c r="AF43" s="121">
        <f t="shared" si="41"/>
        <v>1</v>
      </c>
      <c r="AG43" s="146">
        <f t="shared" si="44"/>
        <v>0</v>
      </c>
      <c r="AH43" s="122">
        <f t="shared" si="45"/>
        <v>1</v>
      </c>
      <c r="AI43" s="111">
        <f t="shared" si="45"/>
        <v>0</v>
      </c>
      <c r="AJ43" s="147">
        <f t="shared" si="46"/>
        <v>0</v>
      </c>
      <c r="AK43" s="146">
        <f t="shared" si="4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9" ht="14" customHeight="1">
      <c r="A44" s="85" t="str">
        <f>IF([1]Summ!$A1079="","",[1]Summ!$A1079)</f>
        <v>Beans season 2: kg produced</v>
      </c>
      <c r="B44" s="216">
        <f>IF([1]Summ!E1079="",0,[1]Summ!E1079)</f>
        <v>0</v>
      </c>
      <c r="C44" s="216">
        <f>IF([1]Summ!F1079="",0,[1]Summ!F1079)</f>
        <v>0</v>
      </c>
      <c r="D44" s="38">
        <f t="shared" si="42"/>
        <v>0</v>
      </c>
      <c r="E44" s="75">
        <f>E13</f>
        <v>1</v>
      </c>
      <c r="F44" s="26">
        <v>1.1299999999999999</v>
      </c>
      <c r="G44" s="22">
        <f t="shared" si="43"/>
        <v>1.1200000000000001</v>
      </c>
      <c r="H44" s="24">
        <f t="shared" si="35"/>
        <v>1.1299999999999999</v>
      </c>
      <c r="I44" s="39">
        <f t="shared" si="36"/>
        <v>0</v>
      </c>
      <c r="J44" s="38">
        <f t="shared" si="37"/>
        <v>0</v>
      </c>
      <c r="K44" s="40">
        <f t="shared" si="38"/>
        <v>0</v>
      </c>
      <c r="L44" s="22">
        <f t="shared" si="39"/>
        <v>0</v>
      </c>
      <c r="M44" s="24">
        <f t="shared" si="40"/>
        <v>0</v>
      </c>
      <c r="N44" s="2"/>
      <c r="O44" s="2"/>
      <c r="P44" s="2"/>
      <c r="V44" s="56"/>
      <c r="W44" s="114"/>
      <c r="X44" s="117"/>
      <c r="Y44" s="109"/>
      <c r="Z44" s="115">
        <v>0.25</v>
      </c>
      <c r="AA44" s="146">
        <f t="shared" si="48"/>
        <v>0</v>
      </c>
      <c r="AB44" s="115">
        <v>0</v>
      </c>
      <c r="AC44" s="146">
        <f t="shared" si="49"/>
        <v>0</v>
      </c>
      <c r="AD44" s="115">
        <v>0.5</v>
      </c>
      <c r="AE44" s="146">
        <f t="shared" si="50"/>
        <v>0</v>
      </c>
      <c r="AF44" s="121">
        <f t="shared" si="41"/>
        <v>0.25</v>
      </c>
      <c r="AG44" s="146">
        <f t="shared" si="44"/>
        <v>0</v>
      </c>
      <c r="AH44" s="122">
        <f t="shared" si="45"/>
        <v>1</v>
      </c>
      <c r="AI44" s="111">
        <f t="shared" si="45"/>
        <v>0</v>
      </c>
      <c r="AJ44" s="147">
        <f t="shared" si="46"/>
        <v>0</v>
      </c>
      <c r="AK44" s="146">
        <f t="shared" si="4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9" ht="14" customHeight="1">
      <c r="A45" s="85" t="str">
        <f>IF([1]Summ!$A1080="","",[1]Summ!$A1080)</f>
        <v>Other root crops (sweet potato):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42"/>
        <v>0</v>
      </c>
      <c r="E45" s="75">
        <f>E15</f>
        <v>1</v>
      </c>
      <c r="F45" s="26">
        <v>1</v>
      </c>
      <c r="G45" s="22">
        <f t="shared" si="43"/>
        <v>1.1200000000000001</v>
      </c>
      <c r="H45" s="24">
        <f t="shared" si="35"/>
        <v>1</v>
      </c>
      <c r="I45" s="39">
        <f t="shared" si="36"/>
        <v>0</v>
      </c>
      <c r="J45" s="38">
        <f t="shared" si="37"/>
        <v>0</v>
      </c>
      <c r="K45" s="40">
        <f t="shared" si="38"/>
        <v>1.4661583984218804E-2</v>
      </c>
      <c r="L45" s="22">
        <f t="shared" si="39"/>
        <v>1.4661583984218804E-2</v>
      </c>
      <c r="M45" s="24">
        <f t="shared" si="40"/>
        <v>0</v>
      </c>
      <c r="N45" s="2"/>
      <c r="O45" s="2"/>
      <c r="P45" s="2"/>
      <c r="V45" s="56"/>
      <c r="W45" s="114"/>
      <c r="X45" s="117"/>
      <c r="Y45" s="109"/>
      <c r="Z45" s="115">
        <v>0.25</v>
      </c>
      <c r="AA45" s="146">
        <f t="shared" si="48"/>
        <v>0</v>
      </c>
      <c r="AB45" s="115">
        <v>0.25</v>
      </c>
      <c r="AC45" s="146">
        <f t="shared" si="49"/>
        <v>0</v>
      </c>
      <c r="AD45" s="115">
        <v>0.25</v>
      </c>
      <c r="AE45" s="146">
        <f t="shared" si="50"/>
        <v>0</v>
      </c>
      <c r="AF45" s="121">
        <f t="shared" si="41"/>
        <v>0.25</v>
      </c>
      <c r="AG45" s="146">
        <f t="shared" si="44"/>
        <v>0</v>
      </c>
      <c r="AH45" s="122">
        <f t="shared" si="45"/>
        <v>1</v>
      </c>
      <c r="AI45" s="111">
        <f t="shared" si="45"/>
        <v>0</v>
      </c>
      <c r="AJ45" s="147">
        <f t="shared" si="46"/>
        <v>0</v>
      </c>
      <c r="AK45" s="146">
        <f t="shared" si="4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9" ht="14" customHeight="1">
      <c r="A46" s="85" t="str">
        <f>IF([1]Summ!$A1081="","",[1]Summ!$A1081)</f>
        <v>Groundnuts (dry): no. local meas</v>
      </c>
      <c r="B46" s="216">
        <f>IF([1]Summ!E1081="",0,[1]Summ!E1081)</f>
        <v>900</v>
      </c>
      <c r="C46" s="216">
        <f>IF([1]Summ!F1081="",0,[1]Summ!F1081)</f>
        <v>-900</v>
      </c>
      <c r="D46" s="38">
        <f t="shared" si="42"/>
        <v>0</v>
      </c>
      <c r="E46" s="75">
        <f>E16</f>
        <v>1</v>
      </c>
      <c r="F46" s="26">
        <v>1</v>
      </c>
      <c r="G46" s="22">
        <f t="shared" si="43"/>
        <v>1.1200000000000001</v>
      </c>
      <c r="H46" s="24">
        <f t="shared" si="35"/>
        <v>1</v>
      </c>
      <c r="I46" s="39">
        <f t="shared" si="36"/>
        <v>0</v>
      </c>
      <c r="J46" s="38">
        <f t="shared" si="37"/>
        <v>0</v>
      </c>
      <c r="K46" s="40">
        <f t="shared" si="38"/>
        <v>1.3195425585796923E-2</v>
      </c>
      <c r="L46" s="22">
        <f t="shared" si="39"/>
        <v>1.3195425585796923E-2</v>
      </c>
      <c r="M46" s="24">
        <f t="shared" si="40"/>
        <v>0</v>
      </c>
      <c r="N46" s="2"/>
      <c r="O46" s="2"/>
      <c r="P46" s="2"/>
      <c r="V46" s="56"/>
      <c r="W46" s="116"/>
      <c r="X46" s="117"/>
      <c r="Y46" s="109"/>
      <c r="Z46" s="115">
        <v>0.25</v>
      </c>
      <c r="AA46" s="146">
        <f t="shared" si="48"/>
        <v>0</v>
      </c>
      <c r="AB46" s="115">
        <v>0.25</v>
      </c>
      <c r="AC46" s="146">
        <f t="shared" si="49"/>
        <v>0</v>
      </c>
      <c r="AD46" s="115">
        <v>0.25</v>
      </c>
      <c r="AE46" s="146">
        <f t="shared" si="50"/>
        <v>0</v>
      </c>
      <c r="AF46" s="121">
        <f t="shared" si="41"/>
        <v>0.25</v>
      </c>
      <c r="AG46" s="146">
        <f t="shared" si="44"/>
        <v>0</v>
      </c>
      <c r="AH46" s="122">
        <f t="shared" si="45"/>
        <v>1</v>
      </c>
      <c r="AI46" s="111">
        <f t="shared" si="45"/>
        <v>0</v>
      </c>
      <c r="AJ46" s="147">
        <f t="shared" si="46"/>
        <v>0</v>
      </c>
      <c r="AK46" s="146">
        <f t="shared" si="4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9" ht="14" customHeight="1">
      <c r="A47" s="85" t="str">
        <f>IF([1]Summ!$A1082="","",[1]Summ!$A1082)</f>
        <v>Other crop: Rape</v>
      </c>
      <c r="B47" s="216">
        <f>IF([1]Summ!E1082="",0,[1]Summ!E1082)</f>
        <v>175</v>
      </c>
      <c r="C47" s="216">
        <f>IF([1]Summ!F1082="",0,[1]Summ!F1082)</f>
        <v>-175</v>
      </c>
      <c r="D47" s="38">
        <f t="shared" si="42"/>
        <v>0</v>
      </c>
      <c r="E47" s="75">
        <f>E17</f>
        <v>1</v>
      </c>
      <c r="F47" s="26">
        <v>1.07</v>
      </c>
      <c r="G47" s="22">
        <f t="shared" si="43"/>
        <v>1.1200000000000001</v>
      </c>
      <c r="H47" s="24">
        <f t="shared" si="35"/>
        <v>1.07</v>
      </c>
      <c r="I47" s="39">
        <f t="shared" si="36"/>
        <v>0</v>
      </c>
      <c r="J47" s="38">
        <f t="shared" si="37"/>
        <v>0</v>
      </c>
      <c r="K47" s="40">
        <f t="shared" si="38"/>
        <v>2.5657771972382908E-3</v>
      </c>
      <c r="L47" s="22">
        <f t="shared" si="39"/>
        <v>2.7453816010449715E-3</v>
      </c>
      <c r="M47" s="24">
        <f t="shared" si="40"/>
        <v>0</v>
      </c>
      <c r="N47" s="2"/>
      <c r="O47" s="2"/>
      <c r="P47" s="2"/>
      <c r="Q47" s="56"/>
      <c r="R47" s="56"/>
      <c r="S47" s="56"/>
      <c r="T47" s="56"/>
      <c r="U47" s="56"/>
      <c r="V47" s="56"/>
      <c r="W47" s="109"/>
      <c r="X47" s="117"/>
      <c r="Y47" s="109"/>
      <c r="Z47" s="115">
        <v>0.25</v>
      </c>
      <c r="AA47" s="146">
        <f t="shared" si="48"/>
        <v>0</v>
      </c>
      <c r="AB47" s="115">
        <v>0.25</v>
      </c>
      <c r="AC47" s="146">
        <f t="shared" si="49"/>
        <v>0</v>
      </c>
      <c r="AD47" s="115">
        <v>0.25</v>
      </c>
      <c r="AE47" s="146">
        <f t="shared" si="50"/>
        <v>0</v>
      </c>
      <c r="AF47" s="121">
        <f t="shared" si="41"/>
        <v>0.25</v>
      </c>
      <c r="AG47" s="146">
        <f t="shared" si="44"/>
        <v>0</v>
      </c>
      <c r="AH47" s="122">
        <f t="shared" si="45"/>
        <v>1</v>
      </c>
      <c r="AI47" s="111">
        <f t="shared" si="45"/>
        <v>0</v>
      </c>
      <c r="AJ47" s="147">
        <f t="shared" si="46"/>
        <v>0</v>
      </c>
      <c r="AK47" s="146">
        <f t="shared" si="4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9" ht="14" customHeight="1">
      <c r="A48" s="85" t="str">
        <f>IF([1]Summ!$A1083="","",[1]Summ!$A1083)</f>
        <v>Other cashcrop (cabbage): kg produced</v>
      </c>
      <c r="B48" s="216">
        <f>IF([1]Summ!E1083="",0,[1]Summ!E1083)</f>
        <v>0</v>
      </c>
      <c r="C48" s="216">
        <f>IF([1]Summ!F1083="",0,[1]Summ!F1083)</f>
        <v>0</v>
      </c>
      <c r="D48" s="38">
        <f t="shared" si="42"/>
        <v>0</v>
      </c>
      <c r="E48" s="26">
        <v>1</v>
      </c>
      <c r="F48" s="26">
        <v>1.08</v>
      </c>
      <c r="G48" s="22">
        <f t="shared" si="43"/>
        <v>1.1200000000000001</v>
      </c>
      <c r="H48" s="24">
        <f t="shared" si="35"/>
        <v>1.08</v>
      </c>
      <c r="I48" s="39">
        <f t="shared" si="36"/>
        <v>0</v>
      </c>
      <c r="J48" s="38">
        <f t="shared" si="37"/>
        <v>0</v>
      </c>
      <c r="K48" s="40">
        <f t="shared" si="38"/>
        <v>0</v>
      </c>
      <c r="L48" s="22">
        <f t="shared" si="39"/>
        <v>0</v>
      </c>
      <c r="M48" s="24">
        <f t="shared" si="40"/>
        <v>0</v>
      </c>
      <c r="N48" s="2"/>
      <c r="O48" s="2"/>
      <c r="P48" s="2"/>
      <c r="Q48" s="56"/>
      <c r="R48" s="56"/>
      <c r="S48" s="56"/>
      <c r="T48" s="56"/>
      <c r="U48" s="56"/>
      <c r="V48" s="56"/>
      <c r="W48" s="109"/>
      <c r="X48" s="117"/>
      <c r="Y48" s="109"/>
      <c r="Z48" s="115">
        <v>0.25</v>
      </c>
      <c r="AA48" s="146">
        <f t="shared" si="48"/>
        <v>0</v>
      </c>
      <c r="AB48" s="115">
        <v>0.25</v>
      </c>
      <c r="AC48" s="146">
        <f t="shared" si="49"/>
        <v>0</v>
      </c>
      <c r="AD48" s="115">
        <v>0.25</v>
      </c>
      <c r="AE48" s="146">
        <f t="shared" si="50"/>
        <v>0</v>
      </c>
      <c r="AF48" s="121">
        <f t="shared" si="41"/>
        <v>0.25</v>
      </c>
      <c r="AG48" s="146">
        <f t="shared" si="44"/>
        <v>0</v>
      </c>
      <c r="AH48" s="122">
        <f t="shared" si="45"/>
        <v>1</v>
      </c>
      <c r="AI48" s="111">
        <f t="shared" si="45"/>
        <v>0</v>
      </c>
      <c r="AJ48" s="147">
        <f t="shared" si="46"/>
        <v>0</v>
      </c>
      <c r="AK48" s="146">
        <f t="shared" si="4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FISHING -- see worksheet Data 3</v>
      </c>
      <c r="B49" s="216">
        <f>IF([1]Summ!E1084="",0,[1]Summ!E1084)</f>
        <v>1250</v>
      </c>
      <c r="C49" s="216">
        <f>IF([1]Summ!F1084="",0,[1]Summ!F1084)</f>
        <v>-1250</v>
      </c>
      <c r="D49" s="38">
        <f t="shared" si="42"/>
        <v>0</v>
      </c>
      <c r="E49" s="26">
        <v>1</v>
      </c>
      <c r="F49" s="26">
        <v>1</v>
      </c>
      <c r="G49" s="22">
        <f t="shared" si="43"/>
        <v>1.1200000000000001</v>
      </c>
      <c r="H49" s="24">
        <f t="shared" si="35"/>
        <v>1</v>
      </c>
      <c r="I49" s="39">
        <f t="shared" si="36"/>
        <v>0</v>
      </c>
      <c r="J49" s="38">
        <f t="shared" si="37"/>
        <v>0</v>
      </c>
      <c r="K49" s="40">
        <f t="shared" si="38"/>
        <v>1.8326979980273505E-2</v>
      </c>
      <c r="L49" s="22">
        <f t="shared" si="39"/>
        <v>1.8326979980273505E-2</v>
      </c>
      <c r="M49" s="24">
        <f t="shared" si="40"/>
        <v>0</v>
      </c>
      <c r="N49" s="2"/>
      <c r="O49" s="2"/>
      <c r="P49" s="2"/>
      <c r="Q49" s="56"/>
      <c r="R49" s="56"/>
      <c r="S49" s="56"/>
      <c r="T49" s="56"/>
      <c r="U49" s="56"/>
      <c r="V49" s="56"/>
      <c r="W49" s="109"/>
      <c r="X49" s="117"/>
      <c r="Y49" s="109"/>
      <c r="Z49" s="115">
        <v>0.25</v>
      </c>
      <c r="AA49" s="146">
        <f t="shared" si="48"/>
        <v>0</v>
      </c>
      <c r="AB49" s="115">
        <v>0.25</v>
      </c>
      <c r="AC49" s="146">
        <f t="shared" si="49"/>
        <v>0</v>
      </c>
      <c r="AD49" s="115">
        <v>0.25</v>
      </c>
      <c r="AE49" s="146">
        <f t="shared" si="50"/>
        <v>0</v>
      </c>
      <c r="AF49" s="121">
        <f t="shared" si="41"/>
        <v>0.25</v>
      </c>
      <c r="AG49" s="146">
        <f t="shared" si="44"/>
        <v>0</v>
      </c>
      <c r="AH49" s="122">
        <f t="shared" si="45"/>
        <v>1</v>
      </c>
      <c r="AI49" s="111">
        <f t="shared" si="45"/>
        <v>0</v>
      </c>
      <c r="AJ49" s="147">
        <f t="shared" si="46"/>
        <v>0</v>
      </c>
      <c r="AK49" s="146">
        <f t="shared" si="4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6">
        <f>IF([1]Summ!E1085="",0,[1]Summ!E1085)</f>
        <v>1080</v>
      </c>
      <c r="C50" s="216">
        <f>IF([1]Summ!F1085="",0,[1]Summ!F1085)</f>
        <v>-330</v>
      </c>
      <c r="D50" s="38">
        <f t="shared" si="42"/>
        <v>750</v>
      </c>
      <c r="E50" s="26">
        <v>0.8</v>
      </c>
      <c r="F50" s="26">
        <v>1</v>
      </c>
      <c r="G50" s="22">
        <f t="shared" si="43"/>
        <v>1.1200000000000001</v>
      </c>
      <c r="H50" s="24">
        <f t="shared" si="35"/>
        <v>0.8</v>
      </c>
      <c r="I50" s="39">
        <f t="shared" si="36"/>
        <v>600</v>
      </c>
      <c r="J50" s="38">
        <f t="shared" si="37"/>
        <v>600.00000000000023</v>
      </c>
      <c r="K50" s="40">
        <f t="shared" si="38"/>
        <v>1.5834510702956307E-2</v>
      </c>
      <c r="L50" s="22">
        <f t="shared" si="39"/>
        <v>1.2667608562365047E-2</v>
      </c>
      <c r="M50" s="24">
        <f t="shared" si="40"/>
        <v>8.7969503905312857E-3</v>
      </c>
      <c r="N50" s="2"/>
      <c r="O50" s="2"/>
      <c r="P50" s="2"/>
      <c r="Q50" s="56"/>
      <c r="R50" s="56"/>
      <c r="S50" s="56"/>
      <c r="T50" s="56"/>
      <c r="U50" s="56"/>
      <c r="V50" s="56"/>
      <c r="W50" s="109"/>
      <c r="X50" s="117"/>
      <c r="Y50" s="109"/>
      <c r="Z50" s="115">
        <v>0.25</v>
      </c>
      <c r="AA50" s="146">
        <f t="shared" si="48"/>
        <v>150.00000000000006</v>
      </c>
      <c r="AB50" s="115">
        <v>0.25</v>
      </c>
      <c r="AC50" s="146">
        <f t="shared" si="49"/>
        <v>150.00000000000006</v>
      </c>
      <c r="AD50" s="115">
        <v>0.25</v>
      </c>
      <c r="AE50" s="146">
        <f t="shared" si="50"/>
        <v>150.00000000000006</v>
      </c>
      <c r="AF50" s="121">
        <f t="shared" si="41"/>
        <v>0.25</v>
      </c>
      <c r="AG50" s="146">
        <f t="shared" si="44"/>
        <v>150.00000000000006</v>
      </c>
      <c r="AH50" s="122">
        <f t="shared" si="45"/>
        <v>1</v>
      </c>
      <c r="AI50" s="111">
        <f t="shared" si="45"/>
        <v>600.00000000000023</v>
      </c>
      <c r="AJ50" s="147">
        <f t="shared" si="46"/>
        <v>300.00000000000011</v>
      </c>
      <c r="AK50" s="146">
        <f t="shared" si="47"/>
        <v>300.00000000000011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casual work -- see Data2</v>
      </c>
      <c r="B51" s="216">
        <f>IF([1]Summ!E1086="",0,[1]Summ!E1086)</f>
        <v>2085</v>
      </c>
      <c r="C51" s="216">
        <f>IF([1]Summ!F1086="",0,[1]Summ!F1086)</f>
        <v>0</v>
      </c>
      <c r="D51" s="38">
        <f t="shared" si="42"/>
        <v>2085</v>
      </c>
      <c r="E51" s="26">
        <v>0.87</v>
      </c>
      <c r="F51" s="26">
        <v>1.1100000000000001</v>
      </c>
      <c r="G51" s="22">
        <f t="shared" si="43"/>
        <v>1.1200000000000001</v>
      </c>
      <c r="H51" s="24">
        <f t="shared" si="35"/>
        <v>0.96570000000000011</v>
      </c>
      <c r="I51" s="39">
        <f t="shared" si="36"/>
        <v>2013.4845000000003</v>
      </c>
      <c r="J51" s="38">
        <f t="shared" si="37"/>
        <v>2013.4845000000005</v>
      </c>
      <c r="K51" s="40">
        <f t="shared" si="38"/>
        <v>3.0569402607096206E-2</v>
      </c>
      <c r="L51" s="22">
        <f t="shared" si="39"/>
        <v>2.9520872097672811E-2</v>
      </c>
      <c r="M51" s="24">
        <f t="shared" si="40"/>
        <v>2.9520872097672814E-2</v>
      </c>
      <c r="N51" s="2"/>
      <c r="O51" s="2"/>
      <c r="P51" s="2"/>
      <c r="Q51" s="56"/>
      <c r="R51" s="56"/>
      <c r="S51" s="56"/>
      <c r="T51" s="56"/>
      <c r="U51" s="56"/>
      <c r="V51" s="56"/>
      <c r="W51" s="109"/>
      <c r="X51" s="117"/>
      <c r="Y51" s="109"/>
      <c r="Z51" s="115">
        <v>0.25</v>
      </c>
      <c r="AA51" s="146">
        <f t="shared" si="48"/>
        <v>503.37112500000012</v>
      </c>
      <c r="AB51" s="115">
        <v>0.25</v>
      </c>
      <c r="AC51" s="146">
        <f t="shared" si="49"/>
        <v>503.37112500000012</v>
      </c>
      <c r="AD51" s="115">
        <v>0.25</v>
      </c>
      <c r="AE51" s="146">
        <f t="shared" si="50"/>
        <v>503.37112500000012</v>
      </c>
      <c r="AF51" s="121">
        <f t="shared" si="41"/>
        <v>0.25</v>
      </c>
      <c r="AG51" s="146">
        <f t="shared" si="44"/>
        <v>503.37112500000012</v>
      </c>
      <c r="AH51" s="122">
        <f t="shared" si="45"/>
        <v>1</v>
      </c>
      <c r="AI51" s="111">
        <f t="shared" si="45"/>
        <v>2013.4845000000005</v>
      </c>
      <c r="AJ51" s="147">
        <f t="shared" si="46"/>
        <v>1006.7422500000002</v>
      </c>
      <c r="AK51" s="146">
        <f t="shared" si="47"/>
        <v>1006.7422500000002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Construction casual work -- see Data2</v>
      </c>
      <c r="B52" s="216">
        <f>IF([1]Summ!E1087="",0,[1]Summ!E1087)</f>
        <v>1440</v>
      </c>
      <c r="C52" s="216">
        <f>IF([1]Summ!F1087="",0,[1]Summ!F1087)</f>
        <v>0</v>
      </c>
      <c r="D52" s="38">
        <f t="shared" si="42"/>
        <v>1440</v>
      </c>
      <c r="E52" s="26">
        <v>1</v>
      </c>
      <c r="F52" s="26">
        <v>1.1000000000000001</v>
      </c>
      <c r="G52" s="22">
        <f t="shared" si="43"/>
        <v>1.1200000000000001</v>
      </c>
      <c r="H52" s="24">
        <f t="shared" si="35"/>
        <v>1.1000000000000001</v>
      </c>
      <c r="I52" s="39">
        <f t="shared" si="36"/>
        <v>1584.0000000000002</v>
      </c>
      <c r="J52" s="38">
        <f t="shared" si="37"/>
        <v>1584.0000000000002</v>
      </c>
      <c r="K52" s="40">
        <f t="shared" si="38"/>
        <v>2.1112680937275079E-2</v>
      </c>
      <c r="L52" s="22">
        <f t="shared" si="39"/>
        <v>2.322394903100259E-2</v>
      </c>
      <c r="M52" s="24">
        <f t="shared" si="40"/>
        <v>2.322394903100259E-2</v>
      </c>
      <c r="N52" s="2"/>
      <c r="O52" s="2"/>
      <c r="P52" s="2"/>
      <c r="Q52" s="56"/>
      <c r="R52" s="41"/>
      <c r="S52" s="56"/>
      <c r="T52" s="56"/>
      <c r="U52" s="56"/>
      <c r="V52" s="56"/>
      <c r="W52" s="109"/>
      <c r="X52" s="117"/>
      <c r="Y52" s="109"/>
      <c r="Z52" s="115">
        <v>0.25</v>
      </c>
      <c r="AA52" s="146">
        <f t="shared" si="48"/>
        <v>396.00000000000006</v>
      </c>
      <c r="AB52" s="115">
        <v>0.25</v>
      </c>
      <c r="AC52" s="146">
        <f t="shared" si="49"/>
        <v>396.00000000000006</v>
      </c>
      <c r="AD52" s="115">
        <v>0.25</v>
      </c>
      <c r="AE52" s="146">
        <f t="shared" si="50"/>
        <v>396.00000000000006</v>
      </c>
      <c r="AF52" s="121">
        <f t="shared" si="41"/>
        <v>0.25</v>
      </c>
      <c r="AG52" s="146">
        <f t="shared" si="44"/>
        <v>396.00000000000006</v>
      </c>
      <c r="AH52" s="122">
        <f t="shared" si="45"/>
        <v>1</v>
      </c>
      <c r="AI52" s="111">
        <f t="shared" si="45"/>
        <v>1584.0000000000002</v>
      </c>
      <c r="AJ52" s="147">
        <f t="shared" si="46"/>
        <v>792.00000000000011</v>
      </c>
      <c r="AK52" s="146">
        <f t="shared" si="47"/>
        <v>792.00000000000011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Domestic casual work -- see Data2</v>
      </c>
      <c r="B53" s="216">
        <f>IF([1]Summ!E1088="",0,[1]Summ!E1088)</f>
        <v>10560</v>
      </c>
      <c r="C53" s="216">
        <f>IF([1]Summ!F1088="",0,[1]Summ!F1088)</f>
        <v>0</v>
      </c>
      <c r="D53" s="38">
        <f t="shared" si="42"/>
        <v>10560</v>
      </c>
      <c r="E53" s="26">
        <v>1</v>
      </c>
      <c r="F53" s="26">
        <v>1.1000000000000001</v>
      </c>
      <c r="G53" s="22">
        <f t="shared" si="43"/>
        <v>1.1200000000000001</v>
      </c>
      <c r="H53" s="24">
        <f t="shared" si="35"/>
        <v>1.1000000000000001</v>
      </c>
      <c r="I53" s="39">
        <f t="shared" si="36"/>
        <v>11616.000000000002</v>
      </c>
      <c r="J53" s="38">
        <f t="shared" si="37"/>
        <v>11616</v>
      </c>
      <c r="K53" s="40">
        <f t="shared" si="38"/>
        <v>0.15482632687335057</v>
      </c>
      <c r="L53" s="22">
        <f t="shared" si="39"/>
        <v>0.17030895956068565</v>
      </c>
      <c r="M53" s="24">
        <f t="shared" si="40"/>
        <v>0.17030895956068562</v>
      </c>
      <c r="N53" s="2"/>
      <c r="O53" s="2"/>
      <c r="P53" s="2"/>
      <c r="Q53" s="56"/>
      <c r="R53" s="56"/>
      <c r="S53" s="56"/>
      <c r="T53" s="56"/>
      <c r="U53" s="56"/>
      <c r="V53" s="56"/>
      <c r="W53" s="109"/>
      <c r="X53" s="117"/>
      <c r="Y53" s="109"/>
      <c r="Z53" s="115">
        <v>0.25</v>
      </c>
      <c r="AA53" s="146">
        <f t="shared" si="48"/>
        <v>2904</v>
      </c>
      <c r="AB53" s="115">
        <v>0.25</v>
      </c>
      <c r="AC53" s="146">
        <f t="shared" si="49"/>
        <v>2904</v>
      </c>
      <c r="AD53" s="115">
        <v>0.25</v>
      </c>
      <c r="AE53" s="146">
        <f t="shared" si="50"/>
        <v>2904</v>
      </c>
      <c r="AF53" s="121">
        <f t="shared" si="41"/>
        <v>0.25</v>
      </c>
      <c r="AG53" s="146">
        <f t="shared" si="44"/>
        <v>2904</v>
      </c>
      <c r="AH53" s="122">
        <f t="shared" si="45"/>
        <v>1</v>
      </c>
      <c r="AI53" s="111">
        <f t="shared" si="45"/>
        <v>11616</v>
      </c>
      <c r="AJ53" s="147">
        <f t="shared" si="46"/>
        <v>5808</v>
      </c>
      <c r="AK53" s="146">
        <f t="shared" si="47"/>
        <v>5808</v>
      </c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Labour migration: no. people per HH</v>
      </c>
      <c r="B54" s="216">
        <f>IF([1]Summ!E1089="",0,[1]Summ!E1089)</f>
        <v>15000</v>
      </c>
      <c r="C54" s="216">
        <f>IF([1]Summ!F1089="",0,[1]Summ!F1089)</f>
        <v>0</v>
      </c>
      <c r="D54" s="38">
        <f t="shared" si="42"/>
        <v>15000</v>
      </c>
      <c r="E54" s="26">
        <v>1</v>
      </c>
      <c r="F54" s="26">
        <v>1.07</v>
      </c>
      <c r="G54" s="22">
        <f t="shared" si="43"/>
        <v>1.1200000000000001</v>
      </c>
      <c r="H54" s="24">
        <f t="shared" si="35"/>
        <v>1.07</v>
      </c>
      <c r="I54" s="39">
        <f t="shared" si="36"/>
        <v>16050.000000000002</v>
      </c>
      <c r="J54" s="38">
        <f t="shared" si="37"/>
        <v>16050</v>
      </c>
      <c r="K54" s="40">
        <f t="shared" si="38"/>
        <v>0.21992375976328207</v>
      </c>
      <c r="L54" s="22">
        <f t="shared" si="39"/>
        <v>0.23531842294671182</v>
      </c>
      <c r="M54" s="24">
        <f t="shared" si="40"/>
        <v>0.23531842294671182</v>
      </c>
      <c r="N54" s="2"/>
      <c r="O54" s="2"/>
      <c r="P54" s="2"/>
      <c r="Q54" s="56"/>
      <c r="R54" s="56"/>
      <c r="S54" s="56"/>
      <c r="T54" s="56"/>
      <c r="U54" s="56"/>
      <c r="V54" s="56"/>
      <c r="W54" s="109"/>
      <c r="X54" s="117"/>
      <c r="Y54" s="109"/>
      <c r="Z54" s="115">
        <v>0.25</v>
      </c>
      <c r="AA54" s="146">
        <f t="shared" si="48"/>
        <v>4012.5</v>
      </c>
      <c r="AB54" s="115">
        <v>0.25</v>
      </c>
      <c r="AC54" s="146">
        <f t="shared" si="49"/>
        <v>4012.5</v>
      </c>
      <c r="AD54" s="115">
        <v>0.25</v>
      </c>
      <c r="AE54" s="146">
        <f t="shared" si="50"/>
        <v>4012.5</v>
      </c>
      <c r="AF54" s="121">
        <f t="shared" si="41"/>
        <v>0.25</v>
      </c>
      <c r="AG54" s="146">
        <f t="shared" si="44"/>
        <v>4012.5</v>
      </c>
      <c r="AH54" s="122">
        <f t="shared" si="45"/>
        <v>1</v>
      </c>
      <c r="AI54" s="111">
        <f t="shared" si="45"/>
        <v>16050</v>
      </c>
      <c r="AJ54" s="147">
        <f t="shared" si="46"/>
        <v>8025</v>
      </c>
      <c r="AK54" s="146">
        <f t="shared" si="47"/>
        <v>8025</v>
      </c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Formal Employment (e.g. teachers, salaried staff, etc.)</v>
      </c>
      <c r="B55" s="216">
        <f>IF([1]Summ!E1090="",0,[1]Summ!E1090)</f>
        <v>0</v>
      </c>
      <c r="C55" s="216">
        <f>IF([1]Summ!F1090="",0,[1]Summ!F1090)</f>
        <v>0</v>
      </c>
      <c r="D55" s="38">
        <f t="shared" si="42"/>
        <v>0</v>
      </c>
      <c r="E55" s="26">
        <v>1</v>
      </c>
      <c r="F55" s="26">
        <v>1.07</v>
      </c>
      <c r="G55" s="22">
        <f t="shared" si="43"/>
        <v>1.1200000000000001</v>
      </c>
      <c r="H55" s="24">
        <f t="shared" si="35"/>
        <v>1.07</v>
      </c>
      <c r="I55" s="39">
        <f t="shared" si="36"/>
        <v>0</v>
      </c>
      <c r="J55" s="38">
        <f t="shared" si="37"/>
        <v>0</v>
      </c>
      <c r="K55" s="40">
        <f t="shared" si="38"/>
        <v>0</v>
      </c>
      <c r="L55" s="22">
        <f t="shared" si="39"/>
        <v>0</v>
      </c>
      <c r="M55" s="24">
        <f t="shared" si="40"/>
        <v>0</v>
      </c>
      <c r="N55" s="2"/>
      <c r="O55" s="2"/>
      <c r="P55" s="2"/>
      <c r="Q55" s="56"/>
      <c r="R55" s="56"/>
      <c r="S55" s="56"/>
      <c r="T55" s="56"/>
      <c r="U55" s="56"/>
      <c r="V55" s="56"/>
      <c r="W55" s="109"/>
      <c r="X55" s="117"/>
      <c r="Y55" s="109"/>
      <c r="Z55" s="115">
        <v>0.25</v>
      </c>
      <c r="AA55" s="146">
        <f t="shared" si="48"/>
        <v>0</v>
      </c>
      <c r="AB55" s="115">
        <v>0.25</v>
      </c>
      <c r="AC55" s="146">
        <f t="shared" si="49"/>
        <v>0</v>
      </c>
      <c r="AD55" s="115">
        <v>0.25</v>
      </c>
      <c r="AE55" s="146">
        <f t="shared" si="50"/>
        <v>0</v>
      </c>
      <c r="AF55" s="121">
        <f t="shared" si="41"/>
        <v>0.25</v>
      </c>
      <c r="AG55" s="146">
        <f t="shared" si="44"/>
        <v>0</v>
      </c>
      <c r="AH55" s="122">
        <f t="shared" si="45"/>
        <v>1</v>
      </c>
      <c r="AI55" s="111">
        <f t="shared" si="45"/>
        <v>0</v>
      </c>
      <c r="AJ55" s="147">
        <f t="shared" si="46"/>
        <v>0</v>
      </c>
      <c r="AK55" s="146">
        <f t="shared" si="47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Self-employment -- see Data2</v>
      </c>
      <c r="B56" s="216">
        <f>IF([1]Summ!E1091="",0,[1]Summ!E1091)</f>
        <v>6420</v>
      </c>
      <c r="C56" s="216">
        <f>IF([1]Summ!F1091="",0,[1]Summ!F1091)</f>
        <v>1284</v>
      </c>
      <c r="D56" s="38">
        <f t="shared" si="42"/>
        <v>7704</v>
      </c>
      <c r="E56" s="26">
        <v>1</v>
      </c>
      <c r="F56" s="26">
        <v>1.1000000000000001</v>
      </c>
      <c r="G56" s="22">
        <f t="shared" si="43"/>
        <v>1.1200000000000001</v>
      </c>
      <c r="H56" s="24">
        <f t="shared" si="35"/>
        <v>1.1000000000000001</v>
      </c>
      <c r="I56" s="39">
        <f t="shared" si="36"/>
        <v>8474.4000000000015</v>
      </c>
      <c r="J56" s="38">
        <f t="shared" si="37"/>
        <v>8474.4000000000033</v>
      </c>
      <c r="K56" s="40">
        <f t="shared" si="38"/>
        <v>9.4127369178684722E-2</v>
      </c>
      <c r="L56" s="22">
        <f t="shared" si="39"/>
        <v>0.1035401060965532</v>
      </c>
      <c r="M56" s="24">
        <f t="shared" si="40"/>
        <v>0.12424812731586389</v>
      </c>
      <c r="N56" s="2"/>
      <c r="O56" s="2"/>
      <c r="P56" s="2"/>
      <c r="Q56" s="56"/>
      <c r="R56" s="56"/>
      <c r="S56" s="56"/>
      <c r="T56" s="56"/>
      <c r="U56" s="56"/>
      <c r="V56" s="56"/>
      <c r="W56" s="109"/>
      <c r="X56" s="117"/>
      <c r="Y56" s="109"/>
      <c r="Z56" s="115">
        <v>0.25</v>
      </c>
      <c r="AA56" s="146">
        <f t="shared" si="48"/>
        <v>2118.6000000000008</v>
      </c>
      <c r="AB56" s="115">
        <v>0.25</v>
      </c>
      <c r="AC56" s="146">
        <f t="shared" si="49"/>
        <v>2118.6000000000008</v>
      </c>
      <c r="AD56" s="115">
        <v>0.25</v>
      </c>
      <c r="AE56" s="146">
        <f t="shared" si="50"/>
        <v>2118.6000000000008</v>
      </c>
      <c r="AF56" s="121">
        <f t="shared" si="41"/>
        <v>0.25</v>
      </c>
      <c r="AG56" s="146">
        <f t="shared" si="44"/>
        <v>2118.6000000000008</v>
      </c>
      <c r="AH56" s="122">
        <f t="shared" ref="AH56:AI61" si="51">SUM(Z56,AB56,AD56,AF56)</f>
        <v>1</v>
      </c>
      <c r="AI56" s="111">
        <f t="shared" si="51"/>
        <v>8474.4000000000033</v>
      </c>
      <c r="AJ56" s="147">
        <f t="shared" si="46"/>
        <v>4237.2000000000016</v>
      </c>
      <c r="AK56" s="146">
        <f t="shared" si="47"/>
        <v>4237.2000000000016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Small business -- see Data2</v>
      </c>
      <c r="B57" s="216">
        <f>IF([1]Summ!E1092="",0,[1]Summ!E1092)</f>
        <v>960</v>
      </c>
      <c r="C57" s="216">
        <f>IF([1]Summ!F1092="",0,[1]Summ!F1092)</f>
        <v>0</v>
      </c>
      <c r="D57" s="38">
        <f t="shared" si="42"/>
        <v>960</v>
      </c>
      <c r="E57" s="26">
        <v>1</v>
      </c>
      <c r="F57" s="26">
        <v>1.05</v>
      </c>
      <c r="G57" s="22">
        <f t="shared" si="43"/>
        <v>1.1200000000000001</v>
      </c>
      <c r="H57" s="24">
        <f t="shared" si="35"/>
        <v>1.05</v>
      </c>
      <c r="I57" s="39">
        <f t="shared" si="36"/>
        <v>1008</v>
      </c>
      <c r="J57" s="38">
        <f t="shared" si="37"/>
        <v>1008.0000000000001</v>
      </c>
      <c r="K57" s="40">
        <f t="shared" si="38"/>
        <v>1.4075120624850052E-2</v>
      </c>
      <c r="L57" s="22">
        <f t="shared" si="39"/>
        <v>1.4778876656092555E-2</v>
      </c>
      <c r="M57" s="24">
        <f t="shared" si="40"/>
        <v>1.4778876656092557E-2</v>
      </c>
      <c r="N57" s="2"/>
      <c r="O57" s="2"/>
      <c r="P57" s="2"/>
      <c r="Q57" s="56"/>
      <c r="R57" s="56"/>
      <c r="S57" s="56"/>
      <c r="T57" s="56"/>
      <c r="U57" s="56"/>
      <c r="V57" s="56"/>
      <c r="W57" s="109"/>
      <c r="X57" s="117"/>
      <c r="Y57" s="109"/>
      <c r="Z57" s="115">
        <v>0.25</v>
      </c>
      <c r="AA57" s="146">
        <f t="shared" si="48"/>
        <v>252.00000000000003</v>
      </c>
      <c r="AB57" s="115">
        <v>0.25</v>
      </c>
      <c r="AC57" s="146">
        <f t="shared" si="49"/>
        <v>252.00000000000003</v>
      </c>
      <c r="AD57" s="115">
        <v>0.25</v>
      </c>
      <c r="AE57" s="146">
        <f t="shared" si="50"/>
        <v>252.00000000000003</v>
      </c>
      <c r="AF57" s="121">
        <f t="shared" si="41"/>
        <v>0.25</v>
      </c>
      <c r="AG57" s="146">
        <f t="shared" si="44"/>
        <v>252.00000000000003</v>
      </c>
      <c r="AH57" s="122">
        <f t="shared" si="51"/>
        <v>1</v>
      </c>
      <c r="AI57" s="111">
        <f t="shared" si="51"/>
        <v>1008.0000000000001</v>
      </c>
      <c r="AJ57" s="147">
        <f t="shared" si="46"/>
        <v>504.00000000000006</v>
      </c>
      <c r="AK57" s="146">
        <f t="shared" si="47"/>
        <v>504.00000000000006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Social Cash Transfers -- see Data2</v>
      </c>
      <c r="B58" s="216">
        <f>IF([1]Summ!E1093="",0,[1]Summ!E1093)</f>
        <v>19935.454545454548</v>
      </c>
      <c r="C58" s="216">
        <f>IF([1]Summ!F1093="",0,[1]Summ!F1093)</f>
        <v>0</v>
      </c>
      <c r="D58" s="38">
        <f t="shared" si="42"/>
        <v>19935.454545454548</v>
      </c>
      <c r="E58" s="26">
        <v>1</v>
      </c>
      <c r="F58" s="26">
        <v>1.1100000000000001</v>
      </c>
      <c r="G58" s="22">
        <f t="shared" si="43"/>
        <v>1.1200000000000001</v>
      </c>
      <c r="H58" s="24">
        <f t="shared" si="35"/>
        <v>1.1100000000000001</v>
      </c>
      <c r="I58" s="39">
        <f t="shared" si="36"/>
        <v>22128.354545454549</v>
      </c>
      <c r="J58" s="38">
        <f t="shared" si="37"/>
        <v>22128.354545454553</v>
      </c>
      <c r="K58" s="40">
        <f t="shared" si="38"/>
        <v>0.29228534108175835</v>
      </c>
      <c r="L58" s="22">
        <f t="shared" si="39"/>
        <v>0.32443672860075179</v>
      </c>
      <c r="M58" s="24">
        <f t="shared" si="40"/>
        <v>0.32443672860075184</v>
      </c>
      <c r="N58" s="2"/>
      <c r="O58" s="2"/>
      <c r="P58" s="2"/>
      <c r="Q58" s="56"/>
      <c r="R58" s="56"/>
      <c r="S58" s="56"/>
      <c r="T58" s="56"/>
      <c r="U58" s="56"/>
      <c r="V58" s="56"/>
      <c r="W58" s="109"/>
      <c r="X58" s="117"/>
      <c r="Y58" s="109"/>
      <c r="Z58" s="115">
        <v>0.25</v>
      </c>
      <c r="AA58" s="146">
        <f t="shared" si="48"/>
        <v>5532.0886363636382</v>
      </c>
      <c r="AB58" s="115">
        <v>0.25</v>
      </c>
      <c r="AC58" s="146">
        <f t="shared" si="49"/>
        <v>5532.0886363636382</v>
      </c>
      <c r="AD58" s="115">
        <v>0.25</v>
      </c>
      <c r="AE58" s="146">
        <f t="shared" si="50"/>
        <v>5532.0886363636382</v>
      </c>
      <c r="AF58" s="121">
        <f t="shared" si="41"/>
        <v>0.25</v>
      </c>
      <c r="AG58" s="146">
        <f t="shared" si="44"/>
        <v>5532.0886363636382</v>
      </c>
      <c r="AH58" s="122">
        <f t="shared" si="51"/>
        <v>1</v>
      </c>
      <c r="AI58" s="111">
        <f t="shared" si="51"/>
        <v>22128.354545454553</v>
      </c>
      <c r="AJ58" s="147">
        <f t="shared" si="46"/>
        <v>11064.177272727276</v>
      </c>
      <c r="AK58" s="146">
        <f t="shared" si="47"/>
        <v>11064.177272727276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6">
        <f>IF([1]Summ!E1094="",0,[1]Summ!E1094)</f>
        <v>4800</v>
      </c>
      <c r="C59" s="216">
        <f>IF([1]Summ!F1094="",0,[1]Summ!F1094)</f>
        <v>0</v>
      </c>
      <c r="D59" s="38">
        <f t="shared" si="42"/>
        <v>4800</v>
      </c>
      <c r="E59" s="26">
        <v>1</v>
      </c>
      <c r="F59" s="26">
        <v>1.05</v>
      </c>
      <c r="G59" s="22">
        <f t="shared" si="43"/>
        <v>1.1200000000000001</v>
      </c>
      <c r="H59" s="24">
        <f t="shared" si="35"/>
        <v>1.05</v>
      </c>
      <c r="I59" s="39">
        <f t="shared" si="36"/>
        <v>5040</v>
      </c>
      <c r="J59" s="38">
        <f t="shared" si="37"/>
        <v>5040</v>
      </c>
      <c r="K59" s="40">
        <f t="shared" si="38"/>
        <v>7.0375603124250258E-2</v>
      </c>
      <c r="L59" s="22">
        <f t="shared" si="39"/>
        <v>7.3894383280462772E-2</v>
      </c>
      <c r="M59" s="24">
        <f t="shared" si="40"/>
        <v>7.3894383280462772E-2</v>
      </c>
      <c r="N59" s="2"/>
      <c r="O59" s="2"/>
      <c r="P59" s="2"/>
      <c r="Q59" s="56"/>
      <c r="R59" s="56"/>
      <c r="S59" s="56"/>
      <c r="T59" s="56"/>
      <c r="U59" s="56"/>
      <c r="V59" s="56"/>
      <c r="W59" s="109"/>
      <c r="X59" s="117"/>
      <c r="Y59" s="109"/>
      <c r="Z59" s="115">
        <v>0.25</v>
      </c>
      <c r="AA59" s="146">
        <f t="shared" si="48"/>
        <v>1260</v>
      </c>
      <c r="AB59" s="115">
        <v>0.25</v>
      </c>
      <c r="AC59" s="146">
        <f t="shared" si="49"/>
        <v>1260</v>
      </c>
      <c r="AD59" s="115">
        <v>0.25</v>
      </c>
      <c r="AE59" s="146">
        <f t="shared" si="50"/>
        <v>1260</v>
      </c>
      <c r="AF59" s="121">
        <f t="shared" si="41"/>
        <v>0.25</v>
      </c>
      <c r="AG59" s="146">
        <f t="shared" si="44"/>
        <v>1260</v>
      </c>
      <c r="AH59" s="122">
        <f t="shared" si="51"/>
        <v>1</v>
      </c>
      <c r="AI59" s="111">
        <f t="shared" si="51"/>
        <v>5040</v>
      </c>
      <c r="AJ59" s="147">
        <f t="shared" si="46"/>
        <v>2520</v>
      </c>
      <c r="AK59" s="146">
        <f t="shared" si="47"/>
        <v>2520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2"/>
        <v>0</v>
      </c>
      <c r="E60" s="26">
        <v>1</v>
      </c>
      <c r="F60" s="26">
        <v>1</v>
      </c>
      <c r="G60" s="22">
        <f t="shared" si="43"/>
        <v>1.1200000000000001</v>
      </c>
      <c r="H60" s="24">
        <f t="shared" si="35"/>
        <v>1</v>
      </c>
      <c r="I60" s="39">
        <f t="shared" si="36"/>
        <v>0</v>
      </c>
      <c r="J60" s="38">
        <f t="shared" si="37"/>
        <v>0</v>
      </c>
      <c r="K60" s="40">
        <f t="shared" si="38"/>
        <v>0</v>
      </c>
      <c r="L60" s="22">
        <f t="shared" si="39"/>
        <v>0</v>
      </c>
      <c r="M60" s="24">
        <f t="shared" si="40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09"/>
      <c r="X60" s="117"/>
      <c r="Y60" s="109"/>
      <c r="Z60" s="115">
        <v>0.25</v>
      </c>
      <c r="AA60" s="146">
        <f t="shared" si="48"/>
        <v>0</v>
      </c>
      <c r="AB60" s="115">
        <v>0.25</v>
      </c>
      <c r="AC60" s="146">
        <f t="shared" si="49"/>
        <v>0</v>
      </c>
      <c r="AD60" s="115">
        <v>0.25</v>
      </c>
      <c r="AE60" s="146">
        <f t="shared" si="50"/>
        <v>0</v>
      </c>
      <c r="AF60" s="121">
        <f t="shared" si="41"/>
        <v>0.25</v>
      </c>
      <c r="AG60" s="146">
        <f t="shared" si="44"/>
        <v>0</v>
      </c>
      <c r="AH60" s="122">
        <f t="shared" si="51"/>
        <v>1</v>
      </c>
      <c r="AI60" s="111">
        <f t="shared" si="51"/>
        <v>0</v>
      </c>
      <c r="AJ60" s="147">
        <f t="shared" si="46"/>
        <v>0</v>
      </c>
      <c r="AK60" s="146">
        <f t="shared" si="4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2"/>
        <v>0</v>
      </c>
      <c r="E61" s="26">
        <v>1</v>
      </c>
      <c r="F61" s="26">
        <v>1</v>
      </c>
      <c r="G61" s="22">
        <f t="shared" si="43"/>
        <v>1.1200000000000001</v>
      </c>
      <c r="H61" s="24">
        <f t="shared" si="35"/>
        <v>1</v>
      </c>
      <c r="I61" s="39">
        <f t="shared" si="36"/>
        <v>0</v>
      </c>
      <c r="J61" s="38">
        <f t="shared" si="37"/>
        <v>0</v>
      </c>
      <c r="K61" s="40">
        <f t="shared" si="38"/>
        <v>0</v>
      </c>
      <c r="L61" s="22">
        <f t="shared" si="39"/>
        <v>0</v>
      </c>
      <c r="M61" s="24">
        <f t="shared" si="40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09"/>
      <c r="X61" s="117"/>
      <c r="Y61" s="109"/>
      <c r="Z61" s="115">
        <v>0.25</v>
      </c>
      <c r="AA61" s="148">
        <f t="shared" si="48"/>
        <v>0</v>
      </c>
      <c r="AB61" s="115">
        <v>0.25</v>
      </c>
      <c r="AC61" s="148">
        <f t="shared" si="49"/>
        <v>0</v>
      </c>
      <c r="AD61" s="115">
        <v>0.25</v>
      </c>
      <c r="AE61" s="148">
        <f t="shared" si="50"/>
        <v>0</v>
      </c>
      <c r="AF61" s="149">
        <f t="shared" si="41"/>
        <v>0.25</v>
      </c>
      <c r="AG61" s="148">
        <f t="shared" si="44"/>
        <v>0</v>
      </c>
      <c r="AH61" s="122">
        <f t="shared" si="51"/>
        <v>1</v>
      </c>
      <c r="AI61" s="111">
        <f t="shared" si="51"/>
        <v>0</v>
      </c>
      <c r="AJ61" s="150">
        <f t="shared" si="46"/>
        <v>0</v>
      </c>
      <c r="AK61" s="148">
        <f t="shared" si="4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41" t="s">
        <v>32</v>
      </c>
      <c r="B62" s="41">
        <f>SUM(B39:B61)</f>
        <v>68205.454545454544</v>
      </c>
      <c r="C62" s="41">
        <f>SUM(C39:C61)</f>
        <v>-2971</v>
      </c>
      <c r="D62" s="42">
        <f>SUM(D39:D61)</f>
        <v>65234.454545454544</v>
      </c>
      <c r="E62" s="32"/>
      <c r="F62" s="32"/>
      <c r="G62" s="32"/>
      <c r="H62" s="31"/>
      <c r="I62" s="39">
        <f>SUM(I39:I61)</f>
        <v>70574.239045454553</v>
      </c>
      <c r="J62" s="39">
        <f>SUM(J39:J61)</f>
        <v>70574.239045454553</v>
      </c>
      <c r="K62" s="40">
        <f>SUM(K39:K61)</f>
        <v>1</v>
      </c>
      <c r="L62" s="22">
        <f>SUM(L39:L61)</f>
        <v>1.0757950303894652</v>
      </c>
      <c r="M62" s="24">
        <f>SUM(M39:M61)</f>
        <v>1.034730132887266</v>
      </c>
      <c r="N62" s="2"/>
      <c r="O62" s="2"/>
      <c r="P62" s="2"/>
      <c r="Q62" s="56"/>
      <c r="R62" s="56"/>
      <c r="S62" s="56"/>
      <c r="T62" s="56"/>
      <c r="U62" s="56"/>
      <c r="V62" s="56"/>
      <c r="W62" s="109"/>
      <c r="X62" s="151"/>
      <c r="Y62" s="109"/>
      <c r="Z62" s="136"/>
      <c r="AA62" s="152">
        <f>SUM(AA39:AA61)</f>
        <v>17128.559761363638</v>
      </c>
      <c r="AB62" s="136"/>
      <c r="AC62" s="152">
        <f>SUM(AC39:AC61)</f>
        <v>17128.559761363638</v>
      </c>
      <c r="AD62" s="136"/>
      <c r="AE62" s="152">
        <f>SUM(AE39:AE61)</f>
        <v>17128.559761363638</v>
      </c>
      <c r="AF62" s="136"/>
      <c r="AG62" s="152">
        <f>SUM(AG39:AG61)</f>
        <v>19188.559761363638</v>
      </c>
      <c r="AH62" s="136"/>
      <c r="AI62" s="152">
        <f>SUM(AI39:AI61)</f>
        <v>70574.239045454553</v>
      </c>
      <c r="AJ62" s="152">
        <f>SUM(AJ39:AJ61)</f>
        <v>34257.119522727276</v>
      </c>
      <c r="AK62" s="152">
        <f>SUM(AK39:AK61)</f>
        <v>36317.119522727276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3.5" customHeight="1">
      <c r="A63" s="43"/>
      <c r="B63" s="43"/>
      <c r="C63" s="43"/>
      <c r="D63" s="44"/>
      <c r="E63" s="14"/>
      <c r="F63" s="14"/>
      <c r="G63" s="14"/>
      <c r="H63" s="44"/>
      <c r="I63" s="14"/>
      <c r="J63" s="44"/>
      <c r="K63" s="45"/>
      <c r="L63" s="11"/>
      <c r="M63" s="10"/>
      <c r="N63" s="2"/>
      <c r="O63" s="2"/>
      <c r="P63" s="2"/>
      <c r="Q63" s="56"/>
      <c r="R63" s="56"/>
      <c r="S63" s="56"/>
      <c r="T63" s="56"/>
      <c r="U63" s="56"/>
      <c r="V63" s="56"/>
      <c r="W63" s="109"/>
      <c r="X63" s="117"/>
      <c r="Y63" s="109"/>
      <c r="Z63" s="142"/>
      <c r="AA63" s="153"/>
      <c r="AB63" s="142"/>
      <c r="AC63" s="153"/>
      <c r="AD63" s="142"/>
      <c r="AE63" s="153"/>
      <c r="AF63" s="142"/>
      <c r="AG63" s="153"/>
      <c r="AH63" s="142"/>
      <c r="AI63" s="153"/>
      <c r="AJ63" s="142"/>
      <c r="AK63" s="143"/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5.75" customHeight="1">
      <c r="A64" s="15" t="s">
        <v>33</v>
      </c>
      <c r="B64" s="46"/>
      <c r="C64" s="46"/>
      <c r="D64" s="38"/>
      <c r="E64" s="32"/>
      <c r="F64" s="32"/>
      <c r="G64" s="32"/>
      <c r="H64" s="31"/>
      <c r="I64" s="47"/>
      <c r="J64" s="48"/>
      <c r="K64" s="34" t="s">
        <v>34</v>
      </c>
      <c r="L64" s="2"/>
      <c r="M64" s="31"/>
      <c r="N64" s="2"/>
      <c r="O64" s="2"/>
      <c r="P64" s="2"/>
      <c r="Q64" s="56"/>
      <c r="R64" s="56"/>
      <c r="S64" s="56"/>
      <c r="T64" s="56"/>
      <c r="U64" s="56"/>
      <c r="V64" s="56"/>
      <c r="W64" s="109"/>
      <c r="X64" s="117"/>
      <c r="Y64" s="109"/>
      <c r="Z64" s="144"/>
      <c r="AA64" s="146"/>
      <c r="AB64" s="144"/>
      <c r="AC64" s="146"/>
      <c r="AD64" s="144"/>
      <c r="AE64" s="146"/>
      <c r="AF64" s="144"/>
      <c r="AG64" s="146"/>
      <c r="AH64" s="144"/>
      <c r="AI64" s="146"/>
      <c r="AJ64" s="144"/>
      <c r="AK64" s="145"/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9"/>
      <c r="B65" s="46" t="s">
        <v>7</v>
      </c>
      <c r="C65" s="46"/>
      <c r="D65" s="50"/>
      <c r="E65" s="19" t="s">
        <v>10</v>
      </c>
      <c r="F65" s="2" t="s">
        <v>28</v>
      </c>
      <c r="G65" s="2"/>
      <c r="H65" s="16" t="s">
        <v>12</v>
      </c>
      <c r="I65" s="19" t="s">
        <v>13</v>
      </c>
      <c r="J65" s="16" t="s">
        <v>14</v>
      </c>
      <c r="K65" s="37" t="s">
        <v>7</v>
      </c>
      <c r="L65" s="19" t="s">
        <v>15</v>
      </c>
      <c r="M65" s="16" t="s">
        <v>14</v>
      </c>
      <c r="N65" s="2"/>
      <c r="O65" s="2"/>
      <c r="P65" s="2"/>
      <c r="Q65" s="56"/>
      <c r="R65" s="56"/>
      <c r="S65" s="56"/>
      <c r="T65" s="56"/>
      <c r="U65" s="56"/>
      <c r="V65" s="56"/>
      <c r="W65" s="111"/>
      <c r="X65" s="117"/>
      <c r="Y65" s="109"/>
      <c r="Z65" s="144"/>
      <c r="AA65" s="146"/>
      <c r="AB65" s="144"/>
      <c r="AC65" s="146"/>
      <c r="AD65" s="144"/>
      <c r="AE65" s="146"/>
      <c r="AF65" s="144"/>
      <c r="AG65" s="146"/>
      <c r="AH65" s="144"/>
      <c r="AI65" s="146"/>
      <c r="AJ65" s="144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46" t="s">
        <v>30</v>
      </c>
      <c r="B66" s="46" t="s">
        <v>35</v>
      </c>
      <c r="C66" s="46"/>
      <c r="D66" s="38"/>
      <c r="E66" s="19" t="s">
        <v>18</v>
      </c>
      <c r="F66" s="2" t="s">
        <v>31</v>
      </c>
      <c r="G66" s="2"/>
      <c r="H66" s="16" t="s">
        <v>18</v>
      </c>
      <c r="I66" s="19" t="s">
        <v>35</v>
      </c>
      <c r="J66" s="16" t="s">
        <v>35</v>
      </c>
      <c r="K66" s="37" t="s">
        <v>35</v>
      </c>
      <c r="L66" s="19" t="s">
        <v>19</v>
      </c>
      <c r="M66" s="16" t="s">
        <v>35</v>
      </c>
      <c r="N66" s="2"/>
      <c r="O66" s="2"/>
      <c r="P66" s="2"/>
      <c r="Q66" s="56"/>
      <c r="R66" s="56"/>
      <c r="S66" s="56"/>
      <c r="T66" s="56"/>
      <c r="U66" s="56"/>
      <c r="V66" s="56"/>
      <c r="W66" s="109"/>
      <c r="X66" s="117"/>
      <c r="Y66" s="109"/>
      <c r="Z66" s="144"/>
      <c r="AA66" s="146"/>
      <c r="AB66" s="144"/>
      <c r="AC66" s="146"/>
      <c r="AD66" s="144"/>
      <c r="AE66" s="146"/>
      <c r="AF66" s="144"/>
      <c r="AG66" s="146"/>
      <c r="AH66" s="144"/>
      <c r="AI66" s="146"/>
      <c r="AJ66" s="144"/>
      <c r="AK66" s="145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4" customHeight="1">
      <c r="A67" s="109" t="s">
        <v>131</v>
      </c>
      <c r="B67" s="103">
        <f>SUM([1]Summ!E1031)</f>
        <v>22674.715190333613</v>
      </c>
      <c r="C67" s="46"/>
      <c r="D67" s="38"/>
      <c r="E67" s="26">
        <v>1</v>
      </c>
      <c r="F67" s="26">
        <v>1.1399999999999999</v>
      </c>
      <c r="G67" s="22"/>
      <c r="H67" s="24">
        <f>(E67*F67)</f>
        <v>1.1399999999999999</v>
      </c>
      <c r="I67" s="39">
        <f>I116*I$80</f>
        <v>25849.175316980312</v>
      </c>
      <c r="J67" s="51">
        <f>J116*I$80</f>
        <v>25849.175316980312</v>
      </c>
      <c r="K67" s="40">
        <f>B67/B$73</f>
        <v>0.33244724108131812</v>
      </c>
      <c r="L67" s="22">
        <f>(L116*G$39*F$9/F$7)/B$122</f>
        <v>0.37898985483270253</v>
      </c>
      <c r="M67" s="24">
        <f>J67/B$73</f>
        <v>0.37898985483270259</v>
      </c>
      <c r="N67" s="2"/>
      <c r="O67" s="2"/>
      <c r="P67" s="2"/>
      <c r="Q67" s="56"/>
      <c r="R67" s="56"/>
      <c r="S67" s="56"/>
      <c r="T67" s="56"/>
      <c r="U67" s="56"/>
      <c r="V67" s="56"/>
      <c r="W67" s="109"/>
      <c r="X67" s="117"/>
      <c r="Y67" s="109"/>
      <c r="Z67" s="115">
        <v>0.25</v>
      </c>
      <c r="AA67" s="146">
        <f>$J67*Z67</f>
        <v>6462.2938292450781</v>
      </c>
      <c r="AB67" s="115">
        <v>0.25</v>
      </c>
      <c r="AC67" s="146">
        <f>$J67*AB67</f>
        <v>6462.2938292450781</v>
      </c>
      <c r="AD67" s="115">
        <v>0.25</v>
      </c>
      <c r="AE67" s="146">
        <f>$J67*AD67</f>
        <v>6462.2938292450781</v>
      </c>
      <c r="AF67" s="121">
        <f>1-SUM(Z67,AB67,AD67)</f>
        <v>0.25</v>
      </c>
      <c r="AG67" s="146">
        <f>$J67*AF67</f>
        <v>6462.2938292450781</v>
      </c>
      <c r="AH67" s="154">
        <f>SUM(Z67,AB67,AD67,AF67)</f>
        <v>1</v>
      </c>
      <c r="AI67" s="146">
        <f>SUM(AA67,AC67,AE67,AG67)</f>
        <v>25849.175316980312</v>
      </c>
      <c r="AJ67" s="147">
        <f>(AA67+AC67)</f>
        <v>12924.587658490156</v>
      </c>
      <c r="AK67" s="146">
        <f>(AE67+AG67)</f>
        <v>12924.587658490156</v>
      </c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109" t="s">
        <v>132</v>
      </c>
      <c r="B68" s="103">
        <f>SUM([1]Summ!E1032)</f>
        <v>15031.333333333334</v>
      </c>
      <c r="C68" s="46"/>
      <c r="D68" s="38"/>
      <c r="E68" s="26">
        <v>1</v>
      </c>
      <c r="F68" s="26">
        <v>1.1100000000000001</v>
      </c>
      <c r="G68" s="22"/>
      <c r="H68" s="24">
        <f t="shared" ref="H68:H70" si="52">(E68*F68)</f>
        <v>1.1100000000000001</v>
      </c>
      <c r="I68" s="39">
        <f t="shared" ref="I68:I69" si="53">I117*I$80</f>
        <v>87259.019045454566</v>
      </c>
      <c r="J68" s="51">
        <f t="shared" ref="J68:J69" si="54">J117*I$80</f>
        <v>16684.780000000002</v>
      </c>
      <c r="K68" s="40">
        <f t="shared" ref="K68:K69" si="55">B68/B$73</f>
        <v>0.22038315606145426</v>
      </c>
      <c r="L68" s="22">
        <f t="shared" ref="L68:L69" si="56">(L117*G$39*F$9/F$7)/B$122</f>
        <v>0</v>
      </c>
      <c r="M68" s="24">
        <f t="shared" ref="M68:M69" si="57">J68/B$73</f>
        <v>0.24462530322821427</v>
      </c>
      <c r="N68" s="2"/>
      <c r="O68" s="2"/>
      <c r="P68" s="2"/>
      <c r="Q68" s="56"/>
      <c r="R68" s="56"/>
      <c r="S68" s="56"/>
      <c r="T68" s="56"/>
      <c r="U68" s="56"/>
      <c r="V68" s="56"/>
      <c r="W68" s="109"/>
      <c r="X68" s="117"/>
      <c r="Y68" s="109"/>
      <c r="Z68" s="115"/>
      <c r="AA68" s="146"/>
      <c r="AB68" s="115"/>
      <c r="AC68" s="146"/>
      <c r="AD68" s="115"/>
      <c r="AE68" s="146"/>
      <c r="AF68" s="121"/>
      <c r="AG68" s="146"/>
      <c r="AH68" s="154"/>
      <c r="AI68" s="146"/>
      <c r="AJ68" s="147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109" t="s">
        <v>133</v>
      </c>
      <c r="B69" s="103">
        <f>SUM([1]Summ!E1033)</f>
        <v>24276</v>
      </c>
      <c r="C69" s="46"/>
      <c r="D69" s="38"/>
      <c r="E69" s="26">
        <v>1</v>
      </c>
      <c r="F69" s="26">
        <v>1.1100000000000001</v>
      </c>
      <c r="G69" s="22"/>
      <c r="H69" s="24">
        <f t="shared" si="52"/>
        <v>1.1100000000000001</v>
      </c>
      <c r="I69" s="39">
        <f t="shared" si="53"/>
        <v>2191.108411493924</v>
      </c>
      <c r="J69" s="51">
        <f t="shared" si="54"/>
        <v>2191.108411493924</v>
      </c>
      <c r="K69" s="40">
        <f t="shared" si="55"/>
        <v>0.35592461280089571</v>
      </c>
      <c r="L69" s="22">
        <f t="shared" si="56"/>
        <v>0</v>
      </c>
      <c r="M69" s="24">
        <f t="shared" si="57"/>
        <v>3.2125119993646423E-2</v>
      </c>
      <c r="N69" s="2"/>
      <c r="O69" s="2"/>
      <c r="P69" s="2"/>
      <c r="Q69" s="56"/>
      <c r="R69" s="56"/>
      <c r="S69" s="56"/>
      <c r="T69" s="56"/>
      <c r="U69" s="56"/>
      <c r="V69" s="56"/>
      <c r="W69" s="109"/>
      <c r="X69" s="117"/>
      <c r="Y69" s="109"/>
      <c r="Z69" s="115"/>
      <c r="AA69" s="146"/>
      <c r="AB69" s="115"/>
      <c r="AC69" s="146"/>
      <c r="AD69" s="115"/>
      <c r="AE69" s="146"/>
      <c r="AF69" s="121"/>
      <c r="AG69" s="146"/>
      <c r="AH69" s="154"/>
      <c r="AI69" s="146"/>
      <c r="AJ69" s="147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3.5" customHeight="1">
      <c r="A70" s="109" t="s">
        <v>134</v>
      </c>
      <c r="B70" s="103">
        <f>SUM([1]Summ!E1034)</f>
        <v>3145</v>
      </c>
      <c r="C70" s="46"/>
      <c r="D70" s="38"/>
      <c r="E70" s="26">
        <v>1</v>
      </c>
      <c r="F70" s="26">
        <v>1.1100000000000001</v>
      </c>
      <c r="G70" s="22"/>
      <c r="H70" s="24">
        <f t="shared" si="52"/>
        <v>1.1100000000000001</v>
      </c>
      <c r="I70" s="39">
        <f>I119*I$80</f>
        <v>0</v>
      </c>
      <c r="J70" s="51">
        <f>J119*I$80</f>
        <v>0</v>
      </c>
      <c r="K70" s="40">
        <f>B70/B$73</f>
        <v>4.611068163036814E-2</v>
      </c>
      <c r="L70" s="22">
        <f>(L119*G$39*F$9/F$7)/B$122</f>
        <v>4.8131269295532332E-2</v>
      </c>
      <c r="M70" s="24">
        <f>J70/B$73</f>
        <v>0</v>
      </c>
      <c r="O70" s="2"/>
      <c r="P70" s="2"/>
      <c r="Q70" s="56"/>
      <c r="R70" s="56"/>
      <c r="S70" s="56"/>
      <c r="T70" s="56"/>
      <c r="U70" s="56"/>
      <c r="V70" s="56"/>
      <c r="W70" s="109"/>
      <c r="X70" s="117"/>
      <c r="Y70" s="109"/>
      <c r="Z70" s="115">
        <v>0.09</v>
      </c>
      <c r="AA70" s="146">
        <f>$H$70*$B$70*Z70</f>
        <v>314.18549999999999</v>
      </c>
      <c r="AB70" s="115">
        <v>0.09</v>
      </c>
      <c r="AC70" s="146">
        <f>$H$70*$B$70*AB70</f>
        <v>314.18549999999999</v>
      </c>
      <c r="AD70" s="115">
        <v>0.23</v>
      </c>
      <c r="AE70" s="146">
        <f>$H$70*$B$70*AD70</f>
        <v>802.91850000000011</v>
      </c>
      <c r="AF70" s="121">
        <f>1-SUM(Z70,AB70,AD70)</f>
        <v>0.59</v>
      </c>
      <c r="AG70" s="146">
        <f>$H$70*$B$70*AF70</f>
        <v>2059.6605</v>
      </c>
      <c r="AH70" s="154">
        <f>SUM(Z70,AB70,AD70,AF70)</f>
        <v>1</v>
      </c>
      <c r="AI70" s="146">
        <f>SUM(AA70,AC70,AE70,AG70)</f>
        <v>3490.95</v>
      </c>
      <c r="AJ70" s="147">
        <f>(AA70+AC70)</f>
        <v>628.37099999999998</v>
      </c>
      <c r="AK70" s="146">
        <f>(AE70+AG70)</f>
        <v>2862.5790000000002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" t="s">
        <v>135</v>
      </c>
      <c r="B71" s="52">
        <f>B32*B80</f>
        <v>3840.0000000000005</v>
      </c>
      <c r="C71" s="46"/>
      <c r="D71" s="38"/>
      <c r="E71" s="32"/>
      <c r="F71" s="32"/>
      <c r="G71" s="32"/>
      <c r="H71" s="31"/>
      <c r="I71" s="39">
        <f>I120*I$80</f>
        <v>44725.063728474241</v>
      </c>
      <c r="J71" s="51">
        <f>J120*I$80</f>
        <v>1230.5756425301861</v>
      </c>
      <c r="K71" s="40">
        <f>B71/B$73</f>
        <v>5.6300482499400215E-2</v>
      </c>
      <c r="L71" s="22">
        <f>(L120*G$39*F$9/F$7)/B$122</f>
        <v>5.8767591127136462E-2</v>
      </c>
      <c r="M71" s="24">
        <f>J71/B$73</f>
        <v>1.804218813189034E-2</v>
      </c>
      <c r="O71" s="2"/>
      <c r="P71" s="2"/>
      <c r="Q71" s="56"/>
      <c r="R71" s="56"/>
      <c r="S71" s="56"/>
      <c r="T71" s="56"/>
      <c r="U71" s="56"/>
      <c r="V71" s="56"/>
      <c r="W71" s="109"/>
      <c r="X71" s="117"/>
      <c r="Y71" s="109"/>
      <c r="Z71" s="155"/>
      <c r="AA71" s="146">
        <f>AA32*$I$80/4</f>
        <v>-4774.4403002162126</v>
      </c>
      <c r="AB71" s="155"/>
      <c r="AC71" s="146">
        <f>AC32*$I$80/4</f>
        <v>-4783.765792774514</v>
      </c>
      <c r="AD71" s="155"/>
      <c r="AE71" s="146">
        <f>AE32*$I$80/4</f>
        <v>-4737.8078793195991</v>
      </c>
      <c r="AF71" s="155"/>
      <c r="AG71" s="146">
        <f>AG32*$I$80/4</f>
        <v>12336.310616708872</v>
      </c>
      <c r="AH71" s="154"/>
      <c r="AI71" s="146">
        <f>SUM(AA71,AC71,AE71,AG71)</f>
        <v>-1959.7033556014558</v>
      </c>
      <c r="AJ71" s="147">
        <f>(AA71+AC71)</f>
        <v>-9558.2060929907275</v>
      </c>
      <c r="AK71" s="146">
        <f>(AE71+AG71)</f>
        <v>7598.5027373892726</v>
      </c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" t="s">
        <v>55</v>
      </c>
      <c r="B72" s="52">
        <f>B73-B67-B70-B71</f>
        <v>38545.739355120932</v>
      </c>
      <c r="C72" s="46"/>
      <c r="D72" s="38"/>
      <c r="E72" s="32"/>
      <c r="F72" s="32"/>
      <c r="G72" s="32"/>
      <c r="H72" s="31"/>
      <c r="I72" s="47"/>
      <c r="J72" s="51">
        <f>J121*I$80</f>
        <v>24618.599674450128</v>
      </c>
      <c r="K72" s="40">
        <f>B72/B$73</f>
        <v>0.56514159478891357</v>
      </c>
      <c r="L72" s="22">
        <f>(L121*G$39*F$9/F$7)/B$122</f>
        <v>0.58990631513409375</v>
      </c>
      <c r="M72" s="24">
        <f>J72/B$73</f>
        <v>0.3609476667008123</v>
      </c>
      <c r="O72" s="2"/>
      <c r="P72" s="2"/>
      <c r="Q72" s="56"/>
      <c r="R72" s="56"/>
      <c r="S72" s="56"/>
      <c r="T72" s="56"/>
      <c r="U72" s="56"/>
      <c r="V72" s="56"/>
      <c r="W72" s="109"/>
      <c r="X72" s="156"/>
      <c r="Y72" s="160" t="s">
        <v>104</v>
      </c>
      <c r="Z72" s="157"/>
      <c r="AA72" s="148">
        <f>AA76-AA71</f>
        <v>15440.706232334773</v>
      </c>
      <c r="AB72" s="157"/>
      <c r="AC72" s="148">
        <f>AA72+AC62-SUM(AC67,AC71)</f>
        <v>30890.737957227848</v>
      </c>
      <c r="AD72" s="157"/>
      <c r="AE72" s="148">
        <f>AC72+AE62-SUM(AE67,AE71)</f>
        <v>46294.811768666004</v>
      </c>
      <c r="AF72" s="157"/>
      <c r="AG72" s="148">
        <f>IF(SUM(AG6:AG31)+((AG62-AG67-$J$72)*4/I$80)&lt;1,0,AG62-AG67-$J$72-(1-SUM(AG6:AG31))*I$80/4)</f>
        <v>0</v>
      </c>
      <c r="AH72" s="133"/>
      <c r="AI72" s="148">
        <f>AI73-SUM(AI67,AI71)</f>
        <v>46684.767084075698</v>
      </c>
      <c r="AJ72" s="150">
        <f>AJ73-SUM(AJ67,AJ71)</f>
        <v>30890.737957227848</v>
      </c>
      <c r="AK72" s="148">
        <f>AJ72+AK73-SUM(AK67,AK71)</f>
        <v>46684.767084075698</v>
      </c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4" customHeight="1" thickBot="1">
      <c r="A73" s="1" t="s">
        <v>32</v>
      </c>
      <c r="B73" s="52">
        <f>B62</f>
        <v>68205.454545454544</v>
      </c>
      <c r="C73" s="46"/>
      <c r="D73" s="38"/>
      <c r="E73" s="32"/>
      <c r="F73" s="32"/>
      <c r="G73" s="32"/>
      <c r="H73" s="31"/>
      <c r="I73" s="39">
        <f>I122*I$80</f>
        <v>70574.239045454553</v>
      </c>
      <c r="J73" s="51">
        <f>J122*I$80</f>
        <v>70574.239045454553</v>
      </c>
      <c r="K73" s="40">
        <f>SUM(K67:K72)</f>
        <v>1.5763077688623499</v>
      </c>
      <c r="L73" s="22">
        <f>SUM(L67:L72)</f>
        <v>1.075795030389465</v>
      </c>
      <c r="M73" s="24">
        <f>SUM(M67:M72)</f>
        <v>1.0347301328872658</v>
      </c>
      <c r="O73" s="2"/>
      <c r="P73" s="2"/>
      <c r="Q73" s="56"/>
      <c r="R73" s="56"/>
      <c r="S73" s="56"/>
      <c r="T73" s="56"/>
      <c r="U73" s="56"/>
      <c r="V73" s="56"/>
      <c r="W73" s="109"/>
      <c r="X73" s="189"/>
      <c r="Y73" s="189"/>
      <c r="Z73" s="136"/>
      <c r="AA73" s="153">
        <f>AA62</f>
        <v>17128.559761363638</v>
      </c>
      <c r="AB73" s="136"/>
      <c r="AC73" s="152">
        <f>AC62</f>
        <v>17128.559761363638</v>
      </c>
      <c r="AD73" s="136"/>
      <c r="AE73" s="152">
        <f>AE62</f>
        <v>17128.559761363638</v>
      </c>
      <c r="AF73" s="136"/>
      <c r="AG73" s="152">
        <f>AG62</f>
        <v>19188.559761363638</v>
      </c>
      <c r="AH73" s="136"/>
      <c r="AI73" s="152">
        <f>SUM(AA73,AC73,AE73,AG73)</f>
        <v>70574.239045454553</v>
      </c>
      <c r="AJ73" s="153">
        <f>SUM(AA73,AC73)</f>
        <v>34257.119522727276</v>
      </c>
      <c r="AK73" s="153">
        <f>SUM(AE73,AG73)</f>
        <v>36317.119522727276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 thickBot="1">
      <c r="A74" s="98" t="s">
        <v>36</v>
      </c>
      <c r="B74" s="52"/>
      <c r="C74" s="46"/>
      <c r="D74" s="38"/>
      <c r="E74" s="32"/>
      <c r="F74" s="32"/>
      <c r="G74" s="32"/>
      <c r="H74" s="31"/>
      <c r="I74" s="39">
        <f>I123*I$80</f>
        <v>47122.090000000011</v>
      </c>
      <c r="J74" s="99">
        <f>J123*I$80</f>
        <v>3627.601914055952</v>
      </c>
      <c r="K74" s="40"/>
      <c r="L74" s="22">
        <f>-(L123*G$39*F$9/F$7)/B$122</f>
        <v>-0.64275321075138481</v>
      </c>
      <c r="M74" s="24">
        <f>-J74/B$73</f>
        <v>-5.3186390124244226E-2</v>
      </c>
      <c r="O74" s="2"/>
      <c r="P74" s="2"/>
      <c r="Q74" s="56"/>
      <c r="R74" s="56"/>
      <c r="S74" s="56"/>
      <c r="T74" s="56"/>
      <c r="U74" s="56"/>
      <c r="V74" s="56"/>
      <c r="W74" s="109"/>
      <c r="X74" s="109"/>
      <c r="Y74" s="160" t="s">
        <v>102</v>
      </c>
      <c r="Z74" s="158"/>
      <c r="AA74" s="110">
        <f>AA33*$I$80/4</f>
        <v>0</v>
      </c>
      <c r="AB74" s="111"/>
      <c r="AC74" s="110">
        <f>AC33*$I$80/4</f>
        <v>0</v>
      </c>
      <c r="AD74" s="111"/>
      <c r="AE74" s="110">
        <f>AE33*$I$80/4</f>
        <v>0</v>
      </c>
      <c r="AF74" s="111"/>
      <c r="AG74" s="110">
        <f>AG33*$I$80/4</f>
        <v>0</v>
      </c>
      <c r="AH74" s="109"/>
      <c r="AI74" s="153">
        <f>SUM(AA74,AC74,AE74,AG74)</f>
        <v>0</v>
      </c>
      <c r="AJ74" s="152">
        <f>SUM(AA74,AC74)</f>
        <v>0</v>
      </c>
      <c r="AK74" s="159">
        <f>SUM(AE74,AG74)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53" t="s">
        <v>37</v>
      </c>
      <c r="B75" s="46"/>
      <c r="C75" s="46"/>
      <c r="D75" s="38"/>
      <c r="E75" s="32"/>
      <c r="F75" s="32"/>
      <c r="G75" s="32"/>
      <c r="H75" s="31"/>
      <c r="I75" s="47"/>
      <c r="J75" s="48"/>
      <c r="K75" s="32"/>
      <c r="L75" s="32"/>
      <c r="M75" s="48"/>
      <c r="N75" s="2"/>
      <c r="O75" s="2"/>
      <c r="P75" s="2"/>
      <c r="Q75" s="56"/>
      <c r="R75" s="56"/>
      <c r="S75" s="56"/>
      <c r="T75" s="56"/>
      <c r="U75" s="56"/>
      <c r="V75" s="56"/>
      <c r="W75" s="109"/>
      <c r="X75" s="109"/>
      <c r="Y75" s="160" t="s">
        <v>103</v>
      </c>
      <c r="Z75" s="109"/>
      <c r="AA75" s="111">
        <f>IF(SUM(AG6:AG31)+((AG62-AG67-$J$72)*4/I$80)&lt;1,0,AG62-AG67-$J$72-(1-SUM(AG6:AG31))*I$80/4)</f>
        <v>0</v>
      </c>
      <c r="AB75" s="111"/>
      <c r="AC75" s="111">
        <f>IF(AA72&lt;0,0,AA72)</f>
        <v>15440.706232334773</v>
      </c>
      <c r="AD75" s="111"/>
      <c r="AE75" s="111">
        <f>AC72</f>
        <v>30890.737957227848</v>
      </c>
      <c r="AF75" s="111"/>
      <c r="AG75" s="111">
        <f>AE72</f>
        <v>46294.811768666004</v>
      </c>
      <c r="AH75" s="109"/>
      <c r="AI75" s="145"/>
      <c r="AJ75" s="109"/>
      <c r="AK75" s="145"/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>
      <c r="A76" s="46" t="s">
        <v>38</v>
      </c>
      <c r="B76" s="233" t="str">
        <f>[1]Summ!E1037</f>
        <v>maize</v>
      </c>
      <c r="C76" s="46"/>
      <c r="D76" s="38"/>
      <c r="E76" s="32"/>
      <c r="F76" s="32"/>
      <c r="G76" s="32"/>
      <c r="H76" s="31"/>
      <c r="I76" s="47"/>
      <c r="J76" s="48"/>
      <c r="K76" s="32"/>
      <c r="L76" s="32"/>
      <c r="M76" s="48"/>
      <c r="N76" s="32"/>
      <c r="O76" s="2"/>
      <c r="P76" s="2"/>
      <c r="Q76" s="56"/>
      <c r="R76" s="56"/>
      <c r="S76" s="56"/>
      <c r="T76" s="56"/>
      <c r="U76" s="56"/>
      <c r="V76" s="56"/>
      <c r="W76" s="109"/>
      <c r="X76" s="109"/>
      <c r="Y76" s="160" t="s">
        <v>63</v>
      </c>
      <c r="Z76" s="109"/>
      <c r="AA76" s="111">
        <f>AA62-AA67+IF(SUM(AG6:AG31)+((AG62-AG67-$J$72)*4/I$80)&lt;1,0,AG62-AG67-$J$72-(1-SUM(AG6:AG31))*I$80/4)</f>
        <v>10666.26593211856</v>
      </c>
      <c r="AB76" s="111"/>
      <c r="AC76" s="111">
        <f>AA76-AA71+AC62-AC67</f>
        <v>26106.972164453335</v>
      </c>
      <c r="AD76" s="111"/>
      <c r="AE76" s="111">
        <f>AC76-AC71+AE62-AE67</f>
        <v>41557.003889346408</v>
      </c>
      <c r="AF76" s="111"/>
      <c r="AG76" s="111">
        <f>AE76-AE71+AG62-AG67</f>
        <v>59021.077700784568</v>
      </c>
      <c r="AH76" s="109"/>
      <c r="AI76" s="145"/>
      <c r="AJ76" s="109"/>
      <c r="AK76" s="145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46" t="s">
        <v>39</v>
      </c>
      <c r="B77" s="104">
        <f>[1]Summ!E1038</f>
        <v>0.58061985920496251</v>
      </c>
      <c r="C77" s="46"/>
      <c r="D77" s="38"/>
      <c r="E77" s="32"/>
      <c r="F77" s="32"/>
      <c r="G77" s="32"/>
      <c r="H77" s="31"/>
      <c r="I77" s="47"/>
      <c r="J77" s="48"/>
      <c r="K77" s="32"/>
      <c r="L77" s="32"/>
      <c r="M77" s="48"/>
      <c r="N77" s="32"/>
      <c r="O77" s="2"/>
      <c r="P77" s="2"/>
      <c r="Q77" s="56"/>
      <c r="R77" s="56"/>
      <c r="S77" s="56"/>
      <c r="T77" s="56"/>
      <c r="U77" s="56"/>
      <c r="V77" s="56"/>
      <c r="W77" s="109"/>
      <c r="X77" s="109"/>
      <c r="Y77" s="160"/>
      <c r="Z77" s="109"/>
      <c r="AA77" s="109"/>
      <c r="AB77" s="109"/>
      <c r="AC77" s="109"/>
      <c r="AD77" s="109"/>
      <c r="AE77" s="109"/>
      <c r="AF77" s="109"/>
      <c r="AG77" s="109"/>
      <c r="AH77" s="109"/>
      <c r="AI77" s="145"/>
      <c r="AJ77" s="109"/>
      <c r="AK77" s="145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46" t="s">
        <v>40</v>
      </c>
      <c r="B78" s="233">
        <f>[1]Summ!E1039</f>
        <v>7</v>
      </c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32"/>
      <c r="O78" s="2"/>
      <c r="P78" s="2"/>
      <c r="Q78" s="56"/>
      <c r="R78" s="56"/>
      <c r="S78" s="56"/>
      <c r="T78" s="56"/>
      <c r="U78" s="56"/>
      <c r="V78" s="56"/>
      <c r="W78" s="109"/>
      <c r="X78" s="109"/>
      <c r="Y78" s="160"/>
      <c r="Z78" s="142" t="s">
        <v>64</v>
      </c>
      <c r="AA78" s="158"/>
      <c r="AB78" s="158"/>
      <c r="AC78" s="158"/>
      <c r="AD78" s="158"/>
      <c r="AE78" s="158"/>
      <c r="AF78" s="158"/>
      <c r="AG78" s="143"/>
      <c r="AH78" s="113" t="s">
        <v>65</v>
      </c>
      <c r="AI78" s="145"/>
      <c r="AJ78" s="109"/>
      <c r="AK78" s="145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46" t="s">
        <v>41</v>
      </c>
      <c r="B79" s="104">
        <f>[1]Summ!E1040</f>
        <v>4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X79" s="109"/>
      <c r="Y79" s="160" t="s">
        <v>66</v>
      </c>
      <c r="Z79" s="161">
        <f>IF($AH$79=0,0,AA79/$AH$79)</f>
        <v>1</v>
      </c>
      <c r="AA79" s="162">
        <f>1.12*4</f>
        <v>4.4800000000000004</v>
      </c>
      <c r="AB79" s="161">
        <f>IF($AH$79=0,0,AC79/$AH$79)</f>
        <v>1</v>
      </c>
      <c r="AC79" s="162">
        <f>1.12*4</f>
        <v>4.4800000000000004</v>
      </c>
      <c r="AD79" s="161">
        <f>IF($AH$79=0,0,AE79/$AH$79)</f>
        <v>1</v>
      </c>
      <c r="AE79" s="162">
        <f>1.12*4</f>
        <v>4.4800000000000004</v>
      </c>
      <c r="AF79" s="161">
        <f>IF($AH$79=0,0,AG79/$AH$79)</f>
        <v>1</v>
      </c>
      <c r="AG79" s="162">
        <f>1.12*4</f>
        <v>4.4800000000000004</v>
      </c>
      <c r="AH79" s="163">
        <f>IF(PRODUCT(AA79,AC79,AE79,AG79)=0,0,SUM(AA79,AC79,AE79,AG79)/4)</f>
        <v>4.4800000000000004</v>
      </c>
      <c r="AI79" s="145"/>
      <c r="AJ79" s="109"/>
      <c r="AK79" s="145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42</v>
      </c>
      <c r="B80" s="46">
        <f>365*B77*B78*B79</f>
        <v>5933.9349610747167</v>
      </c>
      <c r="C80" s="46"/>
      <c r="D80" s="38"/>
      <c r="E80" s="32"/>
      <c r="F80" s="32"/>
      <c r="G80" s="32"/>
      <c r="H80" s="24">
        <f>G$39*F$9/F$7</f>
        <v>1.1200000000000001</v>
      </c>
      <c r="I80" s="39">
        <f xml:space="preserve"> B80*H80</f>
        <v>6646.0071564036834</v>
      </c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X80" s="109"/>
      <c r="Y80" s="160" t="s">
        <v>130</v>
      </c>
      <c r="Z80" s="109"/>
      <c r="AA80" s="164">
        <f>$I$80*Z79/4</f>
        <v>1661.5017891009209</v>
      </c>
      <c r="AB80" s="111"/>
      <c r="AC80" s="164">
        <f>$I$80*AB79/4</f>
        <v>1661.5017891009209</v>
      </c>
      <c r="AD80" s="111"/>
      <c r="AE80" s="164">
        <f>$I$80*AD79/4</f>
        <v>1661.5017891009209</v>
      </c>
      <c r="AF80" s="111"/>
      <c r="AG80" s="164">
        <f>$I$80*AF79/4</f>
        <v>1661.5017891009209</v>
      </c>
      <c r="AH80" s="164">
        <f>SUM(AA80,AC80,AE80,AG80)</f>
        <v>6646.0071564036834</v>
      </c>
      <c r="AI80" s="145"/>
      <c r="AJ80" s="109"/>
      <c r="AK80" s="145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 thickBot="1">
      <c r="A81" s="46" t="s">
        <v>140</v>
      </c>
      <c r="B81" s="238">
        <f>B67+((1-D31)*B80)</f>
        <v>26355.942425974536</v>
      </c>
      <c r="C81" s="46"/>
      <c r="D81" s="239"/>
      <c r="E81" s="64"/>
      <c r="F81" s="64"/>
      <c r="G81" s="64"/>
      <c r="H81" s="240">
        <f>IF(B81=0,0,I81/B81)</f>
        <v>1.136249237851565</v>
      </c>
      <c r="I81" s="238">
        <f>(B67*H67)+((1-(D31*H31))*I80)</f>
        <v>29946.919494373295</v>
      </c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X81" s="109"/>
      <c r="Y81" s="160"/>
      <c r="Z81" s="109"/>
      <c r="AA81" s="109"/>
      <c r="AB81" s="109"/>
      <c r="AC81" s="109"/>
      <c r="AD81" s="109"/>
      <c r="AE81" s="109"/>
      <c r="AF81" s="109"/>
      <c r="AG81" s="109"/>
      <c r="AH81" s="109"/>
      <c r="AI81" s="145"/>
      <c r="AJ81" s="109"/>
      <c r="AK81" s="145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 thickBot="1">
      <c r="A82" s="46" t="s">
        <v>43</v>
      </c>
      <c r="B82" s="46"/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09"/>
      <c r="Y82" s="160"/>
      <c r="Z82" s="109"/>
      <c r="AA82" s="112"/>
      <c r="AB82" s="109"/>
      <c r="AC82" s="112"/>
      <c r="AD82" s="109"/>
      <c r="AE82" s="112"/>
      <c r="AF82" s="109"/>
      <c r="AG82" s="112"/>
      <c r="AH82" s="109"/>
      <c r="AI82" s="190"/>
      <c r="AJ82" s="191"/>
      <c r="AK82" s="19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105"/>
      <c r="B83" s="106"/>
      <c r="C83" s="46"/>
      <c r="D83" s="38"/>
      <c r="E83" s="32"/>
      <c r="F83" s="32"/>
      <c r="G83" s="32"/>
      <c r="H83" s="31"/>
      <c r="I83" s="47"/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I83" s="79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39" t="s">
        <v>123</v>
      </c>
      <c r="B84" s="75">
        <f>[1]Summ!$I$892</f>
        <v>0</v>
      </c>
      <c r="C84" s="54"/>
      <c r="D84" s="12"/>
      <c r="E84" s="14"/>
      <c r="F84" s="14"/>
      <c r="G84" s="14"/>
      <c r="H84" s="12"/>
      <c r="I84" s="14"/>
      <c r="J84" s="12"/>
      <c r="K84" s="14"/>
      <c r="L84" s="14"/>
      <c r="M84" s="10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185"/>
      <c r="AB84" s="185"/>
      <c r="AC84" s="185"/>
      <c r="AD84" s="185"/>
      <c r="AE84" s="185"/>
      <c r="AF84" s="185"/>
      <c r="AG84" s="185"/>
      <c r="AH84" s="186"/>
      <c r="AI84" s="188"/>
      <c r="AJ84" s="79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5.75" customHeight="1">
      <c r="A85" s="55" t="str">
        <f>A36</f>
        <v>Income : Poor HHs</v>
      </c>
      <c r="B85" s="56"/>
      <c r="C85" s="56"/>
      <c r="D85" s="31"/>
      <c r="E85" s="2"/>
      <c r="F85" s="2"/>
      <c r="G85" s="2"/>
      <c r="H85" s="17"/>
      <c r="I85" s="2"/>
      <c r="J85" s="33"/>
      <c r="M85" s="57"/>
      <c r="N85" s="58"/>
      <c r="Q85" s="2"/>
      <c r="R85" s="2"/>
      <c r="S85" s="2"/>
      <c r="T85" s="2"/>
      <c r="U85" s="2"/>
      <c r="V85" s="2"/>
      <c r="W85" s="2"/>
      <c r="X85" s="2"/>
      <c r="Y85" s="2"/>
      <c r="Z85" s="2"/>
      <c r="AA85" s="39"/>
      <c r="AB85" s="2"/>
      <c r="AC85" s="2"/>
      <c r="AD85" s="2"/>
      <c r="AE85" s="2"/>
      <c r="AF85" s="2"/>
      <c r="AG85" s="2"/>
      <c r="AI85" s="79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56"/>
      <c r="B86" s="59" t="s">
        <v>7</v>
      </c>
      <c r="C86" s="59" t="s">
        <v>8</v>
      </c>
      <c r="D86" s="16" t="s">
        <v>9</v>
      </c>
      <c r="H86" s="16" t="s">
        <v>12</v>
      </c>
      <c r="I86" s="19" t="s">
        <v>13</v>
      </c>
      <c r="J86" s="16" t="s">
        <v>14</v>
      </c>
      <c r="K86" s="19" t="s">
        <v>7</v>
      </c>
      <c r="L86" s="19" t="s">
        <v>15</v>
      </c>
      <c r="M86" s="57" t="str">
        <f t="shared" ref="M86:M111" si="58">(J86)</f>
        <v>Curr.</v>
      </c>
      <c r="N86" s="58"/>
      <c r="Q86" s="2"/>
      <c r="R86" s="2"/>
      <c r="S86" s="2"/>
      <c r="T86" s="2"/>
      <c r="U86" s="2"/>
      <c r="V86" s="2"/>
      <c r="W86" s="2"/>
      <c r="X86" s="2"/>
      <c r="Y86" s="2"/>
      <c r="Z86" s="2"/>
      <c r="AA86" s="39"/>
      <c r="AB86" s="2"/>
      <c r="AC86" s="39"/>
      <c r="AD86" s="2"/>
      <c r="AE86" s="39"/>
      <c r="AF86" s="2"/>
      <c r="AG86" s="3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56" t="s">
        <v>44</v>
      </c>
      <c r="B87" s="59" t="s">
        <v>16</v>
      </c>
      <c r="C87" s="59" t="s">
        <v>17</v>
      </c>
      <c r="D87" s="16" t="s">
        <v>16</v>
      </c>
      <c r="H87" s="16" t="s">
        <v>18</v>
      </c>
      <c r="I87" s="19" t="s">
        <v>16</v>
      </c>
      <c r="J87" s="16" t="s">
        <v>16</v>
      </c>
      <c r="K87" s="19" t="s">
        <v>16</v>
      </c>
      <c r="L87" s="19" t="s">
        <v>19</v>
      </c>
      <c r="M87" s="57" t="str">
        <f t="shared" si="58"/>
        <v>Access</v>
      </c>
      <c r="N87" s="5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56" t="str">
        <f t="shared" ref="A88:A110" si="59">IF(A39="","",A39)</f>
        <v>Pig sales: no sold</v>
      </c>
      <c r="B88" s="60">
        <f t="shared" ref="B88:C110" si="60">IF(B39="","",(B39/$B$80))</f>
        <v>0.33704447607187332</v>
      </c>
      <c r="C88" s="60">
        <f t="shared" si="60"/>
        <v>0</v>
      </c>
      <c r="D88" s="24">
        <f>SUM(B88,C88)</f>
        <v>0.33704447607187332</v>
      </c>
      <c r="H88" s="24">
        <f t="shared" ref="H88:H110" si="61">(E39*F39/G39*F$7/F$9)</f>
        <v>0.9196428571428571</v>
      </c>
      <c r="I88" s="22">
        <f t="shared" ref="I88:I110" si="62">(D88*H88)</f>
        <v>0.30996054495895492</v>
      </c>
      <c r="J88" s="24">
        <f t="shared" ref="J88:J110" si="63">IF(I$34&lt;=1+I$123,I88,L88+J$35*(I88-L88))</f>
        <v>0.30996054495895492</v>
      </c>
      <c r="K88" s="22">
        <f t="shared" ref="K88:K110" si="64">IF(B88="",0,B88)</f>
        <v>0.33704447607187332</v>
      </c>
      <c r="L88" s="22">
        <f t="shared" ref="L88:L110" si="65">(K88*H88)</f>
        <v>0.30996054495895492</v>
      </c>
      <c r="M88" s="230">
        <f t="shared" si="58"/>
        <v>0.30996054495895492</v>
      </c>
      <c r="N88" s="232">
        <v>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39"/>
      <c r="AD88" s="2"/>
      <c r="AE88" s="39"/>
      <c r="AF88" s="2"/>
      <c r="AG88" s="3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 t="str">
        <f t="shared" si="59"/>
        <v>Cattle sales - local: no. sold</v>
      </c>
      <c r="B89" s="60">
        <f t="shared" si="60"/>
        <v>0</v>
      </c>
      <c r="C89" s="60">
        <f t="shared" si="60"/>
        <v>0</v>
      </c>
      <c r="D89" s="24">
        <f t="shared" ref="D89:D110" si="66">SUM(B89,C89)</f>
        <v>0</v>
      </c>
      <c r="H89" s="24">
        <f t="shared" si="61"/>
        <v>0.99107142857142871</v>
      </c>
      <c r="I89" s="22">
        <f t="shared" si="62"/>
        <v>0</v>
      </c>
      <c r="J89" s="24">
        <f t="shared" si="63"/>
        <v>0</v>
      </c>
      <c r="K89" s="22">
        <f t="shared" si="64"/>
        <v>0</v>
      </c>
      <c r="L89" s="22">
        <f t="shared" si="65"/>
        <v>0</v>
      </c>
      <c r="M89" s="230">
        <f t="shared" si="58"/>
        <v>0</v>
      </c>
      <c r="N89" s="232">
        <v>5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7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tr">
        <f t="shared" si="59"/>
        <v>Goat sales - local: no. sold</v>
      </c>
      <c r="B90" s="60">
        <f t="shared" si="60"/>
        <v>0</v>
      </c>
      <c r="C90" s="60">
        <f t="shared" si="60"/>
        <v>0</v>
      </c>
      <c r="D90" s="24">
        <f t="shared" si="66"/>
        <v>0</v>
      </c>
      <c r="H90" s="24">
        <f t="shared" si="61"/>
        <v>0.9732142857142857</v>
      </c>
      <c r="I90" s="22">
        <f t="shared" si="62"/>
        <v>0</v>
      </c>
      <c r="J90" s="24">
        <f t="shared" si="63"/>
        <v>0</v>
      </c>
      <c r="K90" s="22">
        <f t="shared" si="64"/>
        <v>0</v>
      </c>
      <c r="L90" s="22">
        <f t="shared" si="65"/>
        <v>0</v>
      </c>
      <c r="M90" s="230">
        <f t="shared" si="58"/>
        <v>0</v>
      </c>
      <c r="N90" s="23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 t="shared" si="59"/>
        <v>Maize: kg produced</v>
      </c>
      <c r="B91" s="60">
        <f t="shared" si="60"/>
        <v>5.0556671410780997E-2</v>
      </c>
      <c r="C91" s="60">
        <f t="shared" si="60"/>
        <v>-5.0556671410780997E-2</v>
      </c>
      <c r="D91" s="24">
        <f t="shared" si="66"/>
        <v>0</v>
      </c>
      <c r="H91" s="24">
        <f t="shared" si="61"/>
        <v>0.9107142857142857</v>
      </c>
      <c r="I91" s="22">
        <f t="shared" si="62"/>
        <v>0</v>
      </c>
      <c r="J91" s="24">
        <f t="shared" si="63"/>
        <v>0</v>
      </c>
      <c r="K91" s="22">
        <f t="shared" si="64"/>
        <v>5.0556671410780997E-2</v>
      </c>
      <c r="L91" s="22">
        <f t="shared" si="65"/>
        <v>4.6042682891961263E-2</v>
      </c>
      <c r="M91" s="230">
        <f t="shared" si="58"/>
        <v>0</v>
      </c>
      <c r="N91" s="232">
        <v>2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si="59"/>
        <v>Maize (irrigated): kg produced</v>
      </c>
      <c r="B92" s="60">
        <f t="shared" si="60"/>
        <v>5.0556671410780997E-2</v>
      </c>
      <c r="C92" s="60">
        <f t="shared" si="60"/>
        <v>-5.0556671410780997E-2</v>
      </c>
      <c r="D92" s="24">
        <f t="shared" si="66"/>
        <v>0</v>
      </c>
      <c r="H92" s="24">
        <f t="shared" si="61"/>
        <v>0.9107142857142857</v>
      </c>
      <c r="I92" s="22">
        <f t="shared" si="62"/>
        <v>0</v>
      </c>
      <c r="J92" s="24">
        <f t="shared" si="63"/>
        <v>0</v>
      </c>
      <c r="K92" s="22">
        <f t="shared" si="64"/>
        <v>5.0556671410780997E-2</v>
      </c>
      <c r="L92" s="22">
        <f t="shared" si="65"/>
        <v>4.6042682891961263E-2</v>
      </c>
      <c r="M92" s="230">
        <f t="shared" si="58"/>
        <v>0</v>
      </c>
      <c r="N92" s="232">
        <v>2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59"/>
        <v>Beans season 2: kg produced</v>
      </c>
      <c r="B93" s="60">
        <f t="shared" si="60"/>
        <v>0</v>
      </c>
      <c r="C93" s="60">
        <f t="shared" si="60"/>
        <v>0</v>
      </c>
      <c r="D93" s="24">
        <f t="shared" si="66"/>
        <v>0</v>
      </c>
      <c r="H93" s="24">
        <f t="shared" si="61"/>
        <v>1.0089285714285712</v>
      </c>
      <c r="I93" s="22">
        <f t="shared" si="62"/>
        <v>0</v>
      </c>
      <c r="J93" s="24">
        <f t="shared" si="63"/>
        <v>0</v>
      </c>
      <c r="K93" s="22">
        <f t="shared" si="64"/>
        <v>0</v>
      </c>
      <c r="L93" s="22">
        <f t="shared" si="65"/>
        <v>0</v>
      </c>
      <c r="M93" s="230">
        <f t="shared" si="58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59"/>
        <v>Other root crops (sweet potato): no. local meas</v>
      </c>
      <c r="B94" s="60">
        <f t="shared" si="60"/>
        <v>0.16852223803593666</v>
      </c>
      <c r="C94" s="60">
        <f t="shared" si="60"/>
        <v>-0.16852223803593666</v>
      </c>
      <c r="D94" s="24">
        <f t="shared" si="66"/>
        <v>0</v>
      </c>
      <c r="H94" s="24">
        <f t="shared" si="61"/>
        <v>0.89285714285714279</v>
      </c>
      <c r="I94" s="22">
        <f t="shared" si="62"/>
        <v>0</v>
      </c>
      <c r="J94" s="24">
        <f t="shared" si="63"/>
        <v>0</v>
      </c>
      <c r="K94" s="22">
        <f t="shared" si="64"/>
        <v>0.16852223803593666</v>
      </c>
      <c r="L94" s="22">
        <f t="shared" si="65"/>
        <v>0.15046628396065773</v>
      </c>
      <c r="M94" s="230">
        <f t="shared" si="58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59"/>
        <v>Groundnuts (dry): no. local meas</v>
      </c>
      <c r="B95" s="60">
        <f t="shared" si="60"/>
        <v>0.151670014232343</v>
      </c>
      <c r="C95" s="60">
        <f t="shared" si="60"/>
        <v>-0.151670014232343</v>
      </c>
      <c r="D95" s="24">
        <f t="shared" si="66"/>
        <v>0</v>
      </c>
      <c r="H95" s="24">
        <f t="shared" si="61"/>
        <v>0.89285714285714279</v>
      </c>
      <c r="I95" s="22">
        <f t="shared" si="62"/>
        <v>0</v>
      </c>
      <c r="J95" s="24">
        <f t="shared" si="63"/>
        <v>0</v>
      </c>
      <c r="K95" s="22">
        <f t="shared" si="64"/>
        <v>0.151670014232343</v>
      </c>
      <c r="L95" s="22">
        <f t="shared" si="65"/>
        <v>0.13541965556459196</v>
      </c>
      <c r="M95" s="230">
        <f t="shared" si="58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59"/>
        <v>Other crop: Rape</v>
      </c>
      <c r="B96" s="60">
        <f t="shared" si="60"/>
        <v>2.9491391656288918E-2</v>
      </c>
      <c r="C96" s="60">
        <f t="shared" si="60"/>
        <v>-2.9491391656288918E-2</v>
      </c>
      <c r="D96" s="24">
        <f t="shared" si="66"/>
        <v>0</v>
      </c>
      <c r="H96" s="24">
        <f t="shared" si="61"/>
        <v>0.95535714285714279</v>
      </c>
      <c r="I96" s="22">
        <f t="shared" si="62"/>
        <v>0</v>
      </c>
      <c r="J96" s="24">
        <f t="shared" si="63"/>
        <v>0</v>
      </c>
      <c r="K96" s="22">
        <f t="shared" si="64"/>
        <v>2.9491391656288918E-2</v>
      </c>
      <c r="L96" s="22">
        <f t="shared" si="65"/>
        <v>2.817481167163316E-2</v>
      </c>
      <c r="M96" s="230">
        <f t="shared" si="58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59"/>
        <v>Other cashcrop (cabbage): kg produced</v>
      </c>
      <c r="B97" s="60">
        <f t="shared" si="60"/>
        <v>0</v>
      </c>
      <c r="C97" s="60">
        <f t="shared" si="60"/>
        <v>0</v>
      </c>
      <c r="D97" s="24">
        <f t="shared" si="66"/>
        <v>0</v>
      </c>
      <c r="H97" s="24">
        <f t="shared" si="61"/>
        <v>0.9642857142857143</v>
      </c>
      <c r="I97" s="22">
        <f t="shared" si="62"/>
        <v>0</v>
      </c>
      <c r="J97" s="24">
        <f t="shared" si="63"/>
        <v>0</v>
      </c>
      <c r="K97" s="22">
        <f t="shared" si="64"/>
        <v>0</v>
      </c>
      <c r="L97" s="22">
        <f t="shared" si="65"/>
        <v>0</v>
      </c>
      <c r="M97" s="230">
        <f t="shared" si="58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59"/>
        <v>FISHING -- see worksheet Data 3</v>
      </c>
      <c r="B98" s="60">
        <f t="shared" si="60"/>
        <v>0.21065279754492083</v>
      </c>
      <c r="C98" s="60">
        <f t="shared" si="60"/>
        <v>-0.21065279754492083</v>
      </c>
      <c r="D98" s="24">
        <f t="shared" si="66"/>
        <v>0</v>
      </c>
      <c r="H98" s="24">
        <f t="shared" si="61"/>
        <v>0.89285714285714279</v>
      </c>
      <c r="I98" s="22">
        <f t="shared" si="62"/>
        <v>0</v>
      </c>
      <c r="J98" s="24">
        <f t="shared" si="63"/>
        <v>0</v>
      </c>
      <c r="K98" s="22">
        <f t="shared" si="64"/>
        <v>0.21065279754492083</v>
      </c>
      <c r="L98" s="22">
        <f t="shared" si="65"/>
        <v>0.18808285495082216</v>
      </c>
      <c r="M98" s="230">
        <f t="shared" si="58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59"/>
        <v>WILD FOODS -- see worksheet Data 3</v>
      </c>
      <c r="B99" s="60">
        <f t="shared" si="60"/>
        <v>0.18200401707881161</v>
      </c>
      <c r="C99" s="60">
        <f t="shared" si="60"/>
        <v>-5.5612338551859097E-2</v>
      </c>
      <c r="D99" s="24">
        <f t="shared" si="66"/>
        <v>0.12639167852695252</v>
      </c>
      <c r="H99" s="24">
        <f t="shared" si="61"/>
        <v>0.7142857142857143</v>
      </c>
      <c r="I99" s="22">
        <f t="shared" si="62"/>
        <v>9.0279770376394661E-2</v>
      </c>
      <c r="J99" s="24">
        <f t="shared" si="63"/>
        <v>9.0279770376394661E-2</v>
      </c>
      <c r="K99" s="22">
        <f>IF(B99="",0,B99)</f>
        <v>0.18200401707881161</v>
      </c>
      <c r="L99" s="22">
        <f>(K99*H99)</f>
        <v>0.1300028693420083</v>
      </c>
      <c r="M99" s="230">
        <f t="shared" si="58"/>
        <v>9.0279770376394661E-2</v>
      </c>
      <c r="N99" s="232">
        <v>6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59"/>
        <v>Agricultural casual work -- see Data2</v>
      </c>
      <c r="B100" s="60">
        <f t="shared" si="60"/>
        <v>0.35136886630492797</v>
      </c>
      <c r="C100" s="60">
        <f t="shared" si="60"/>
        <v>0</v>
      </c>
      <c r="D100" s="24">
        <f t="shared" si="66"/>
        <v>0.35136886630492797</v>
      </c>
      <c r="H100" s="24">
        <f t="shared" si="61"/>
        <v>0.86223214285714289</v>
      </c>
      <c r="I100" s="22">
        <f t="shared" si="62"/>
        <v>0.30296153052738301</v>
      </c>
      <c r="J100" s="24">
        <f t="shared" si="63"/>
        <v>0.30296153052738301</v>
      </c>
      <c r="K100" s="22">
        <f t="shared" si="64"/>
        <v>0.35136886630492797</v>
      </c>
      <c r="L100" s="22">
        <f t="shared" si="65"/>
        <v>0.30296153052738301</v>
      </c>
      <c r="M100" s="230">
        <f t="shared" si="58"/>
        <v>0.30296153052738301</v>
      </c>
      <c r="N100" s="232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59"/>
        <v>Construction casual work -- see Data2</v>
      </c>
      <c r="B101" s="60">
        <f t="shared" si="60"/>
        <v>0.24267202277174879</v>
      </c>
      <c r="C101" s="60">
        <f t="shared" si="60"/>
        <v>0</v>
      </c>
      <c r="D101" s="24">
        <f t="shared" si="66"/>
        <v>0.24267202277174879</v>
      </c>
      <c r="H101" s="24">
        <f t="shared" si="61"/>
        <v>0.98214285714285721</v>
      </c>
      <c r="I101" s="22">
        <f t="shared" si="62"/>
        <v>0.23833859379368186</v>
      </c>
      <c r="J101" s="24">
        <f t="shared" si="63"/>
        <v>0.23833859379368186</v>
      </c>
      <c r="K101" s="22">
        <f t="shared" si="64"/>
        <v>0.24267202277174879</v>
      </c>
      <c r="L101" s="22">
        <f t="shared" si="65"/>
        <v>0.23833859379368186</v>
      </c>
      <c r="M101" s="230">
        <f t="shared" si="58"/>
        <v>0.23833859379368186</v>
      </c>
      <c r="N101" s="232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59"/>
        <v>Domestic casual work -- see Data2</v>
      </c>
      <c r="B102" s="60">
        <f t="shared" si="60"/>
        <v>1.7795948336594911</v>
      </c>
      <c r="C102" s="60">
        <f t="shared" si="60"/>
        <v>0</v>
      </c>
      <c r="D102" s="24">
        <f t="shared" si="66"/>
        <v>1.7795948336594911</v>
      </c>
      <c r="H102" s="24">
        <f t="shared" si="61"/>
        <v>0.98214285714285721</v>
      </c>
      <c r="I102" s="22">
        <f t="shared" si="62"/>
        <v>1.7478163544870002</v>
      </c>
      <c r="J102" s="24">
        <f t="shared" si="63"/>
        <v>1.7478163544870002</v>
      </c>
      <c r="K102" s="22">
        <f t="shared" si="64"/>
        <v>1.7795948336594911</v>
      </c>
      <c r="L102" s="22">
        <f t="shared" si="65"/>
        <v>1.7478163544870002</v>
      </c>
      <c r="M102" s="230">
        <f t="shared" si="58"/>
        <v>1.7478163544870002</v>
      </c>
      <c r="N102" s="232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59"/>
        <v>Labour migration: no. people per HH</v>
      </c>
      <c r="B103" s="60">
        <f t="shared" si="60"/>
        <v>2.52783357053905</v>
      </c>
      <c r="C103" s="60">
        <f t="shared" si="60"/>
        <v>0</v>
      </c>
      <c r="D103" s="24">
        <f t="shared" si="66"/>
        <v>2.52783357053905</v>
      </c>
      <c r="H103" s="24">
        <f t="shared" si="61"/>
        <v>0.95535714285714279</v>
      </c>
      <c r="I103" s="22">
        <f t="shared" si="62"/>
        <v>2.4149838575685565</v>
      </c>
      <c r="J103" s="24">
        <f t="shared" si="63"/>
        <v>2.4149838575685565</v>
      </c>
      <c r="K103" s="22">
        <f t="shared" si="64"/>
        <v>2.52783357053905</v>
      </c>
      <c r="L103" s="22">
        <f t="shared" si="65"/>
        <v>2.4149838575685565</v>
      </c>
      <c r="M103" s="57">
        <f t="shared" si="58"/>
        <v>2.4149838575685565</v>
      </c>
      <c r="N103" s="232">
        <v>8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59"/>
        <v>Formal Employment (e.g. teachers, salaried staff, etc.)</v>
      </c>
      <c r="B104" s="60">
        <f t="shared" si="60"/>
        <v>0</v>
      </c>
      <c r="C104" s="60">
        <f t="shared" si="60"/>
        <v>0</v>
      </c>
      <c r="D104" s="24">
        <f t="shared" si="66"/>
        <v>0</v>
      </c>
      <c r="H104" s="24">
        <f t="shared" si="61"/>
        <v>0.95535714285714279</v>
      </c>
      <c r="I104" s="22">
        <f t="shared" si="62"/>
        <v>0</v>
      </c>
      <c r="J104" s="24">
        <f t="shared" si="63"/>
        <v>0</v>
      </c>
      <c r="K104" s="22">
        <f t="shared" si="64"/>
        <v>0</v>
      </c>
      <c r="L104" s="22">
        <f t="shared" si="65"/>
        <v>0</v>
      </c>
      <c r="M104" s="57">
        <f t="shared" si="58"/>
        <v>0</v>
      </c>
      <c r="N104" s="232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59"/>
        <v>Self-employment -- see Data2</v>
      </c>
      <c r="B105" s="60">
        <f t="shared" si="60"/>
        <v>1.0819127681907135</v>
      </c>
      <c r="C105" s="60">
        <f t="shared" si="60"/>
        <v>0.21638255363814268</v>
      </c>
      <c r="D105" s="24">
        <f t="shared" si="66"/>
        <v>1.2982953218288562</v>
      </c>
      <c r="H105" s="24">
        <f t="shared" si="61"/>
        <v>0.98214285714285721</v>
      </c>
      <c r="I105" s="22">
        <f t="shared" si="62"/>
        <v>1.2751114767961982</v>
      </c>
      <c r="J105" s="24">
        <f t="shared" si="63"/>
        <v>1.2751114767961982</v>
      </c>
      <c r="K105" s="22">
        <f t="shared" si="64"/>
        <v>1.0819127681907135</v>
      </c>
      <c r="L105" s="22">
        <f t="shared" si="65"/>
        <v>1.062592897330165</v>
      </c>
      <c r="M105" s="57">
        <f t="shared" si="58"/>
        <v>1.2751114767961982</v>
      </c>
      <c r="N105" s="232">
        <v>10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59"/>
        <v>Small business -- see Data2</v>
      </c>
      <c r="B106" s="60">
        <f t="shared" si="60"/>
        <v>0.16178134851449921</v>
      </c>
      <c r="C106" s="60">
        <f t="shared" si="60"/>
        <v>0</v>
      </c>
      <c r="D106" s="24">
        <f t="shared" si="66"/>
        <v>0.16178134851449921</v>
      </c>
      <c r="H106" s="24">
        <f t="shared" si="61"/>
        <v>0.9375</v>
      </c>
      <c r="I106" s="22">
        <f t="shared" si="62"/>
        <v>0.151670014232343</v>
      </c>
      <c r="J106" s="24">
        <f t="shared" si="63"/>
        <v>0.151670014232343</v>
      </c>
      <c r="K106" s="22">
        <f t="shared" si="64"/>
        <v>0.16178134851449921</v>
      </c>
      <c r="L106" s="22">
        <f t="shared" si="65"/>
        <v>0.151670014232343</v>
      </c>
      <c r="M106" s="57">
        <f t="shared" si="58"/>
        <v>0.151670014232343</v>
      </c>
      <c r="N106" s="232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59"/>
        <v>Social Cash Transfers -- see Data2</v>
      </c>
      <c r="B107" s="60">
        <f t="shared" si="60"/>
        <v>3.3595674162636868</v>
      </c>
      <c r="C107" s="60">
        <f t="shared" si="60"/>
        <v>0</v>
      </c>
      <c r="D107" s="24">
        <f t="shared" si="66"/>
        <v>3.3595674162636868</v>
      </c>
      <c r="H107" s="24">
        <f t="shared" si="61"/>
        <v>0.99107142857142871</v>
      </c>
      <c r="I107" s="22">
        <f t="shared" si="62"/>
        <v>3.3295712786184759</v>
      </c>
      <c r="J107" s="24">
        <f t="shared" si="63"/>
        <v>3.3295712786184759</v>
      </c>
      <c r="K107" s="22">
        <f t="shared" si="64"/>
        <v>3.3595674162636868</v>
      </c>
      <c r="L107" s="22">
        <f t="shared" si="65"/>
        <v>3.3295712786184759</v>
      </c>
      <c r="M107" s="57">
        <f t="shared" si="58"/>
        <v>3.3295712786184759</v>
      </c>
      <c r="N107" s="232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59"/>
        <v>Remittances: no. times per year</v>
      </c>
      <c r="B108" s="60">
        <f t="shared" si="60"/>
        <v>0.80890674257249595</v>
      </c>
      <c r="C108" s="60">
        <f t="shared" si="60"/>
        <v>0</v>
      </c>
      <c r="D108" s="24">
        <f t="shared" si="66"/>
        <v>0.80890674257249595</v>
      </c>
      <c r="H108" s="24">
        <f t="shared" si="61"/>
        <v>0.9375</v>
      </c>
      <c r="I108" s="22">
        <f t="shared" si="62"/>
        <v>0.75835007116171493</v>
      </c>
      <c r="J108" s="24">
        <f t="shared" si="63"/>
        <v>0.75835007116171493</v>
      </c>
      <c r="K108" s="22">
        <f t="shared" si="64"/>
        <v>0.80890674257249595</v>
      </c>
      <c r="L108" s="22">
        <f t="shared" si="65"/>
        <v>0.75835007116171493</v>
      </c>
      <c r="M108" s="57">
        <f t="shared" si="58"/>
        <v>0.75835007116171493</v>
      </c>
      <c r="N108" s="232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59"/>
        <v/>
      </c>
      <c r="B109" s="60">
        <f t="shared" si="60"/>
        <v>0</v>
      </c>
      <c r="C109" s="60">
        <f t="shared" si="60"/>
        <v>0</v>
      </c>
      <c r="D109" s="24">
        <f t="shared" si="66"/>
        <v>0</v>
      </c>
      <c r="H109" s="24">
        <f t="shared" si="61"/>
        <v>0.89285714285714279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57">
        <f t="shared" si="58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59"/>
        <v/>
      </c>
      <c r="B110" s="60">
        <f t="shared" si="60"/>
        <v>0</v>
      </c>
      <c r="C110" s="60">
        <f t="shared" si="60"/>
        <v>0</v>
      </c>
      <c r="D110" s="24">
        <f t="shared" si="66"/>
        <v>0</v>
      </c>
      <c r="H110" s="24">
        <f t="shared" si="61"/>
        <v>0.89285714285714279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57">
        <f t="shared" si="58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">
        <v>32</v>
      </c>
      <c r="B111" s="29">
        <f>SUM(B88:B110)</f>
        <v>11.49413584625835</v>
      </c>
      <c r="C111" s="29">
        <f>SUM(C88:C110)</f>
        <v>-0.50067956920476786</v>
      </c>
      <c r="D111" s="24">
        <f>SUM(D88:D110)</f>
        <v>10.993456277053582</v>
      </c>
      <c r="E111" s="22"/>
      <c r="F111" s="2"/>
      <c r="G111" s="2"/>
      <c r="H111" s="31"/>
      <c r="I111" s="22">
        <f>SUM(I88:I110)</f>
        <v>10.619043492520703</v>
      </c>
      <c r="J111" s="24">
        <f>SUM(J88:J110)</f>
        <v>10.619043492520703</v>
      </c>
      <c r="K111" s="22">
        <f>SUM(K88:K110)</f>
        <v>11.49413584625835</v>
      </c>
      <c r="L111" s="22">
        <f>SUM(L88:L110)</f>
        <v>11.040476983951912</v>
      </c>
      <c r="M111" s="57">
        <f t="shared" si="58"/>
        <v>10.619043492520703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61"/>
      <c r="B112" s="61"/>
      <c r="C112" s="61"/>
      <c r="D112" s="10"/>
      <c r="E112" s="11"/>
      <c r="F112" s="11"/>
      <c r="G112" s="11"/>
      <c r="H112" s="10"/>
      <c r="I112" s="11"/>
      <c r="J112" s="62"/>
      <c r="K112" s="14"/>
      <c r="L112" s="11"/>
      <c r="M112" s="63"/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>
      <c r="A113" s="55" t="str">
        <f>A64</f>
        <v>Expenditure : Poor HHs</v>
      </c>
      <c r="B113" s="56"/>
      <c r="C113" s="56"/>
      <c r="D113" s="31"/>
      <c r="E113" s="2"/>
      <c r="F113" s="2"/>
      <c r="G113" s="2"/>
      <c r="H113" s="31"/>
      <c r="I113" s="22"/>
      <c r="J113" s="18"/>
      <c r="L113" s="2"/>
      <c r="M113" s="57"/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  <c r="AM113" s="21"/>
      <c r="AN113" s="21"/>
      <c r="AO113" s="21"/>
      <c r="AV113" s="21"/>
      <c r="AW113" s="21"/>
      <c r="AX113" s="21"/>
      <c r="BC113" s="21"/>
      <c r="BD113" s="21"/>
      <c r="BE113" s="21"/>
      <c r="BL113" s="21"/>
      <c r="BM113" s="21"/>
      <c r="BN113" s="21"/>
      <c r="BS113" s="21"/>
      <c r="BT113" s="21"/>
      <c r="BU113" s="21"/>
      <c r="CA113" s="21"/>
      <c r="CB113" s="21"/>
      <c r="CC113" s="21"/>
      <c r="CH113" s="21"/>
      <c r="CI113" s="21"/>
      <c r="CJ113" s="21"/>
    </row>
    <row r="114" spans="1:88" ht="14" customHeight="1">
      <c r="A114" s="56"/>
      <c r="B114" s="59" t="s">
        <v>7</v>
      </c>
      <c r="C114" s="56"/>
      <c r="D114" s="16"/>
      <c r="H114" s="16" t="s">
        <v>12</v>
      </c>
      <c r="I114" s="19" t="s">
        <v>13</v>
      </c>
      <c r="J114" s="16" t="s">
        <v>14</v>
      </c>
      <c r="K114" s="19" t="s">
        <v>7</v>
      </c>
      <c r="L114" s="19" t="s">
        <v>15</v>
      </c>
      <c r="M114" s="57" t="str">
        <f t="shared" ref="M114:M122" si="67">(J114)</f>
        <v>Curr.</v>
      </c>
      <c r="N114" s="5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">
        <v>44</v>
      </c>
      <c r="B115" s="59" t="s">
        <v>35</v>
      </c>
      <c r="C115" s="56"/>
      <c r="D115" s="31"/>
      <c r="H115" s="16" t="s">
        <v>18</v>
      </c>
      <c r="I115" s="19" t="s">
        <v>35</v>
      </c>
      <c r="J115" s="16" t="s">
        <v>35</v>
      </c>
      <c r="K115" s="19" t="s">
        <v>35</v>
      </c>
      <c r="L115" s="19" t="s">
        <v>19</v>
      </c>
      <c r="M115" s="57" t="str">
        <f t="shared" si="67"/>
        <v>Expend</v>
      </c>
      <c r="N115" s="5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2"/>
      <c r="AC115" s="2"/>
      <c r="AD115" s="2"/>
      <c r="AE115" s="2"/>
      <c r="AF115" s="2"/>
      <c r="AG115" s="2"/>
    </row>
    <row r="116" spans="1:88" ht="14" customHeight="1">
      <c r="A116" s="109" t="s">
        <v>131</v>
      </c>
      <c r="B116" s="60">
        <f>B67/B$80</f>
        <v>3.82119375070247</v>
      </c>
      <c r="C116" s="56"/>
      <c r="D116" s="24"/>
      <c r="H116" s="24">
        <f>(E67*F67/G$39*F$7/F$9)</f>
        <v>1.0178571428571426</v>
      </c>
      <c r="I116" s="29">
        <f>IF(SUMPRODUCT($B$116:$B116,$H$116:$H116)&lt;I$111,($B116*$H116),I$111)</f>
        <v>3.8894293533935844</v>
      </c>
      <c r="J116" s="241">
        <f>IF(SUMPRODUCT($B$116:$B116,$H$116:$H116)&lt;J$111,($B116*$H116),J$111)</f>
        <v>3.8894293533935844</v>
      </c>
      <c r="K116" s="22">
        <f>(B116)</f>
        <v>3.82119375070247</v>
      </c>
      <c r="L116" s="22">
        <f>IF(B116*H116&gt;=L111,L111,B116*H116)</f>
        <v>3.8894293533935844</v>
      </c>
      <c r="M116" s="57">
        <f t="shared" si="67"/>
        <v>3.8894293533935844</v>
      </c>
      <c r="N116" s="5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2"/>
      <c r="AC116" s="2"/>
      <c r="AD116" s="2"/>
      <c r="AE116" s="2"/>
      <c r="AF116" s="2"/>
      <c r="AG116" s="2"/>
    </row>
    <row r="117" spans="1:88" ht="14" customHeight="1">
      <c r="A117" s="109" t="s">
        <v>132</v>
      </c>
      <c r="B117" s="60">
        <f t="shared" ref="B117:B119" si="68">B68/B$80</f>
        <v>2.5331139339975093</v>
      </c>
      <c r="C117" s="56"/>
      <c r="D117" s="24"/>
      <c r="H117" s="24">
        <f t="shared" ref="H117:H118" si="69">(E68*F68/G$39*F$7/F$9)</f>
        <v>0.99107142857142871</v>
      </c>
      <c r="I117" s="29">
        <f>IF(SUMPRODUCT($B$116:$B117,$H$116:$H117)&lt;I$111,($B117*$H117),IF(SUMPRODUCT($B$116:$B116,$H$116:$H116)&lt;I$111,I$111-SUMPRODUCT($B$116:$B116,$H$116:$H116),0))+I111</f>
        <v>13.129540337821807</v>
      </c>
      <c r="J117" s="241">
        <f>IF(SUMPRODUCT($B$116:$B117,$H$116:$H117)&lt;J$111,($B117*$H117),IF(SUMPRODUCT($B$116:$B116,$H$116:$H116)&lt;J$111,J$111-SUMPRODUCT($B$116:$B116,$H$116:$H116),0))</f>
        <v>2.5104968453011032</v>
      </c>
      <c r="K117" s="22">
        <f t="shared" ref="K117:K118" si="70">(B117)</f>
        <v>2.5331139339975093</v>
      </c>
      <c r="L117" s="22">
        <f t="shared" ref="L117:L118" si="71">IF(B117*H117&gt;=L112,L112,B117*H117)</f>
        <v>0</v>
      </c>
      <c r="M117" s="57">
        <f t="shared" ref="M117:M118" si="72">(J117)</f>
        <v>2.5104968453011032</v>
      </c>
      <c r="N117" s="5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2"/>
      <c r="AC117" s="2"/>
      <c r="AD117" s="2"/>
      <c r="AE117" s="2"/>
      <c r="AF117" s="2"/>
      <c r="AG117" s="2"/>
    </row>
    <row r="118" spans="1:88" ht="14" customHeight="1">
      <c r="A118" s="109" t="s">
        <v>133</v>
      </c>
      <c r="B118" s="60">
        <f t="shared" si="68"/>
        <v>4.0910458505603984</v>
      </c>
      <c r="C118" s="56"/>
      <c r="D118" s="24"/>
      <c r="H118" s="24">
        <f t="shared" si="69"/>
        <v>0.99107142857142871</v>
      </c>
      <c r="I118" s="29">
        <f>IF(SUMPRODUCT($B$116:$B118,$H$116:$H118)&lt;(I$111-I$116),($B118*$H118),IF(SUMPRODUCT($B$116:$B117,$H$116:$H117)&lt;(I$111-I$116),I$111-I$116-SUMPRODUCT($B$116:$B117,$H$116:$H117),0))</f>
        <v>0.32968794043243044</v>
      </c>
      <c r="J118" s="241">
        <f>IF(SUMPRODUCT($B$116:$B118,$H$116:$H118)&lt;(J$111-J$120),($B118*$H118),IF(SUMPRODUCT($B$116:$B117,$H$116:$H117)&lt;(J$111-J$120),J$111-J$116-SUMPRODUCT($B$116:$B117,$H$116:$H117),0))</f>
        <v>0.32968794043243044</v>
      </c>
      <c r="K118" s="22">
        <f t="shared" si="70"/>
        <v>4.0910458505603984</v>
      </c>
      <c r="L118" s="22">
        <f t="shared" si="71"/>
        <v>0</v>
      </c>
      <c r="M118" s="57">
        <f t="shared" si="72"/>
        <v>0.32968794043243044</v>
      </c>
      <c r="N118" s="5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2"/>
      <c r="AC118" s="2"/>
      <c r="AD118" s="2"/>
      <c r="AE118" s="2"/>
      <c r="AF118" s="2"/>
      <c r="AG118" s="2"/>
    </row>
    <row r="119" spans="1:88" ht="14" customHeight="1">
      <c r="A119" s="109" t="s">
        <v>134</v>
      </c>
      <c r="B119" s="60">
        <f t="shared" si="68"/>
        <v>0.53000243862302077</v>
      </c>
      <c r="C119" s="56"/>
      <c r="D119" s="24"/>
      <c r="H119" s="24">
        <f>(E70*F70/G$39*F$7/F$9)</f>
        <v>0.99107142857142871</v>
      </c>
      <c r="I119" s="29">
        <f>IF(SUMPRODUCT($B$116:$B119,$H$116:$H119)&lt;(I$111-I$116),($B119*$H119),IF(SUMPRODUCT($B$116:$B118,$H$116:$H118)&lt;(I$111-I120),I$111-I$116-SUMPRODUCT($B$116:$B118,$H$116:$H118),0))</f>
        <v>0</v>
      </c>
      <c r="J119" s="241">
        <f>IF(SUMPRODUCT($B$116:$B119,$H$116:$H119)&lt;(J$111-J$120),($B119*$H119),IF(SUMPRODUCT($B$116:$B118,$H$116:$H118)&lt;(J$111-J120),J$111-J$120-SUMPRODUCT($B$116:$B118,$H$116:$H118),0))</f>
        <v>0</v>
      </c>
      <c r="K119" s="22">
        <f>(B119)</f>
        <v>0.53000243862302077</v>
      </c>
      <c r="L119" s="22">
        <f>IF(L116=L111,0,(L111-L116)/(B111-B116)*K119)</f>
        <v>0.49395298904972501</v>
      </c>
      <c r="M119" s="57">
        <f t="shared" si="67"/>
        <v>0</v>
      </c>
      <c r="N119" s="58"/>
      <c r="Q119" s="2"/>
      <c r="R119" s="22"/>
      <c r="S119" s="2"/>
      <c r="T119" s="2"/>
      <c r="U119" s="2"/>
      <c r="V119" s="2"/>
      <c r="W119" s="2"/>
      <c r="X119" s="2"/>
      <c r="Y119" s="2"/>
      <c r="Z119" s="2"/>
      <c r="AA119" s="2"/>
      <c r="AB119" s="22"/>
      <c r="AC119" s="2"/>
      <c r="AD119" s="2"/>
      <c r="AE119" s="2"/>
      <c r="AF119" s="2"/>
      <c r="AG119" s="2"/>
    </row>
    <row r="120" spans="1:88" ht="14" customHeight="1">
      <c r="A120" s="1" t="s">
        <v>135</v>
      </c>
      <c r="B120" s="29">
        <f>(B32)</f>
        <v>0.64712539405799685</v>
      </c>
      <c r="C120" s="56"/>
      <c r="D120" s="31"/>
      <c r="E120" s="2"/>
      <c r="F120" s="2"/>
      <c r="G120" s="2"/>
      <c r="H120" s="24"/>
      <c r="I120" s="29">
        <f>(I32)</f>
        <v>6.7296141391271185</v>
      </c>
      <c r="J120" s="231">
        <f>(J32)</f>
        <v>0.18516014406401582</v>
      </c>
      <c r="K120" s="22">
        <f>(B120)</f>
        <v>0.64712539405799685</v>
      </c>
      <c r="L120" s="22">
        <f>IF(L116=L111,0,(L111-L116)/(B111-B116)*K120)</f>
        <v>0.60310953193988692</v>
      </c>
      <c r="M120" s="57">
        <f t="shared" si="67"/>
        <v>0.18516014406401582</v>
      </c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2"/>
      <c r="AC120" s="2"/>
      <c r="AD120" s="2"/>
      <c r="AE120" s="2"/>
      <c r="AF120" s="2"/>
      <c r="AG120" s="2"/>
    </row>
    <row r="121" spans="1:88" ht="14" customHeight="1">
      <c r="A121" s="56" t="s">
        <v>55</v>
      </c>
      <c r="B121" s="29">
        <f>(B122-B116-B119-B120)</f>
        <v>6.4958142628748625</v>
      </c>
      <c r="C121" s="56"/>
      <c r="D121" s="31"/>
      <c r="E121" s="2"/>
      <c r="F121" s="2"/>
      <c r="G121" s="2"/>
      <c r="H121" s="24"/>
      <c r="I121" s="29"/>
      <c r="J121" s="231">
        <f>(J122-J116-J117-J118-J119-J120)</f>
        <v>3.7042692093295688</v>
      </c>
      <c r="K121" s="22">
        <f>(B121)</f>
        <v>6.4958142628748625</v>
      </c>
      <c r="L121" s="22">
        <f>IF(L116=L111,0,(L111-L116)/(B111-B116)*K121)</f>
        <v>6.0539851095687149</v>
      </c>
      <c r="M121" s="57">
        <f t="shared" si="67"/>
        <v>3.7042692093295688</v>
      </c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</row>
    <row r="122" spans="1:88" ht="14" customHeight="1">
      <c r="A122" s="56" t="s">
        <v>32</v>
      </c>
      <c r="B122" s="29">
        <f>(B111)</f>
        <v>11.49413584625835</v>
      </c>
      <c r="C122" s="56"/>
      <c r="D122" s="31"/>
      <c r="E122" s="2"/>
      <c r="F122" s="2"/>
      <c r="G122" s="2"/>
      <c r="H122" s="24"/>
      <c r="I122" s="29">
        <f>(I111)</f>
        <v>10.619043492520703</v>
      </c>
      <c r="J122" s="231">
        <f>(J111)</f>
        <v>10.619043492520703</v>
      </c>
      <c r="K122" s="22">
        <f>(B122)</f>
        <v>11.49413584625835</v>
      </c>
      <c r="L122" s="22">
        <f>(L111)</f>
        <v>11.040476983951912</v>
      </c>
      <c r="M122" s="57">
        <f t="shared" si="67"/>
        <v>10.619043492520703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2"/>
      <c r="AC122" s="2"/>
      <c r="AD122" s="2"/>
      <c r="AE122" s="2"/>
      <c r="AF122" s="2"/>
      <c r="AG122" s="2"/>
    </row>
    <row r="123" spans="1:88" ht="14" customHeight="1">
      <c r="A123" s="56" t="s">
        <v>36</v>
      </c>
      <c r="B123" s="29"/>
      <c r="C123" s="56"/>
      <c r="D123" s="31"/>
      <c r="E123" s="2"/>
      <c r="F123" s="2"/>
      <c r="G123" s="2"/>
      <c r="H123" s="24"/>
      <c r="I123" s="29">
        <f>IF(SUMPRODUCT($B116:$B119,$H116:$H119)&gt;(I111-I120),SUMPRODUCT($B116:$B119,$H116:$H119)+I120-I111,0)</f>
        <v>7.0902857747596713</v>
      </c>
      <c r="J123" s="241">
        <f>IF(SUMPRODUCT($B116:$B119,$H116:$H119)&gt;(J111-J120),SUMPRODUCT($B116:$B119,$H116:$H119)+J120-J111,0)</f>
        <v>0.54583177969656838</v>
      </c>
      <c r="K123" s="22"/>
      <c r="L123" s="22">
        <f>I123-L119</f>
        <v>6.5963327857099463</v>
      </c>
      <c r="M123" s="57">
        <f>I123-M119</f>
        <v>7.0902857747596713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54"/>
      <c r="B124" s="54"/>
      <c r="C124" s="54"/>
      <c r="D124" s="12"/>
      <c r="E124" s="14"/>
      <c r="F124" s="14"/>
      <c r="G124" s="14"/>
      <c r="H124" s="12"/>
      <c r="I124" s="14"/>
      <c r="J124" s="12"/>
      <c r="K124" s="14"/>
      <c r="L124" s="14"/>
      <c r="M124" s="66"/>
      <c r="N124" s="58"/>
    </row>
    <row r="134" spans="1:33">
      <c r="A134" s="56"/>
      <c r="B134" s="56"/>
      <c r="C134" s="56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B135" s="29"/>
      <c r="C135" s="29"/>
      <c r="D135" s="2"/>
      <c r="E135" s="2"/>
      <c r="F135" s="2"/>
      <c r="G135" s="2"/>
      <c r="H135" s="2"/>
      <c r="I135" s="2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68"/>
      <c r="AC135" s="2"/>
      <c r="AD135" s="2"/>
      <c r="AE135" s="2"/>
      <c r="AF135" s="2"/>
      <c r="AG135" s="2"/>
    </row>
    <row r="136" spans="1:33">
      <c r="B136" s="29"/>
      <c r="C136" s="29"/>
      <c r="D136" s="2"/>
      <c r="E136" s="2"/>
      <c r="F136" s="2"/>
      <c r="G136" s="2"/>
      <c r="H136" s="2"/>
      <c r="I136" s="2"/>
      <c r="J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68"/>
      <c r="AC136" s="2"/>
      <c r="AD136" s="2"/>
      <c r="AE136" s="2"/>
      <c r="AF136" s="2"/>
      <c r="AG136" s="2"/>
    </row>
    <row r="137" spans="1:33">
      <c r="B137" s="29"/>
      <c r="C137" s="29"/>
      <c r="D137" s="2"/>
      <c r="E137" s="2"/>
      <c r="F137" s="2"/>
      <c r="G137" s="2"/>
      <c r="H137" s="2"/>
      <c r="I137" s="22"/>
      <c r="J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68"/>
      <c r="AC137" s="2"/>
      <c r="AD137" s="2"/>
      <c r="AE137" s="2"/>
      <c r="AF137" s="2"/>
      <c r="AG137" s="2"/>
    </row>
    <row r="138" spans="1:33">
      <c r="B138" s="56"/>
      <c r="C138" s="56"/>
      <c r="D138" s="2"/>
      <c r="E138" s="2"/>
      <c r="F138" s="2"/>
      <c r="G138" s="2"/>
      <c r="H138" s="2"/>
      <c r="I138" s="2"/>
      <c r="J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68"/>
      <c r="AC138" s="2"/>
      <c r="AD138" s="2"/>
      <c r="AE138" s="2"/>
      <c r="AF138" s="2"/>
      <c r="AG138" s="2"/>
    </row>
    <row r="139" spans="1:33">
      <c r="B139" s="29"/>
      <c r="C139" s="29"/>
      <c r="D139" s="2"/>
      <c r="E139" s="2"/>
      <c r="F139" s="2"/>
      <c r="G139" s="2"/>
      <c r="H139" s="2"/>
      <c r="I139" s="2"/>
      <c r="J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68"/>
      <c r="AC139" s="2"/>
      <c r="AD139" s="2"/>
      <c r="AE139" s="2"/>
      <c r="AF139" s="2"/>
      <c r="AG139" s="2"/>
    </row>
    <row r="140" spans="1:33">
      <c r="B140" s="29"/>
      <c r="C140" s="29"/>
      <c r="D140" s="2"/>
      <c r="E140" s="2"/>
      <c r="F140" s="2"/>
      <c r="G140" s="2"/>
      <c r="H140" s="2"/>
      <c r="I140" s="2"/>
      <c r="J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68"/>
      <c r="AC140" s="2"/>
      <c r="AD140" s="2"/>
      <c r="AE140" s="2"/>
      <c r="AF140" s="2"/>
      <c r="AG140" s="2"/>
    </row>
    <row r="141" spans="1:33">
      <c r="B141" s="29"/>
      <c r="C141" s="29"/>
      <c r="D141" s="2"/>
      <c r="E141" s="2"/>
      <c r="F141" s="2"/>
      <c r="G141" s="2"/>
      <c r="H141" s="2"/>
      <c r="I141" s="2"/>
      <c r="J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68"/>
      <c r="AC141" s="2"/>
      <c r="AD141" s="2"/>
      <c r="AE141" s="2"/>
      <c r="AF141" s="2"/>
      <c r="AG141" s="2"/>
    </row>
    <row r="142" spans="1:33">
      <c r="B142" s="29"/>
      <c r="C142" s="29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68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A145" s="56"/>
      <c r="B145" s="56"/>
      <c r="C145" s="56"/>
      <c r="D145" s="2"/>
      <c r="E145" s="2"/>
      <c r="F145" s="2"/>
      <c r="G145" s="2"/>
      <c r="H145" s="2"/>
      <c r="I145" s="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69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70"/>
      <c r="B146" s="56"/>
      <c r="C146" s="56"/>
      <c r="D146" s="2"/>
      <c r="E146" s="2"/>
      <c r="F146" s="2"/>
      <c r="H146" s="2"/>
      <c r="I146" s="2"/>
      <c r="J146" s="2"/>
      <c r="L146" s="2"/>
      <c r="W146" s="71"/>
    </row>
    <row r="147" spans="1:33">
      <c r="A147" s="56"/>
      <c r="B147" s="56"/>
      <c r="C147" s="56"/>
      <c r="D147" s="2"/>
      <c r="E147" s="2"/>
      <c r="F147" s="2"/>
      <c r="H147" s="2"/>
      <c r="I147" s="2"/>
      <c r="J147" s="2"/>
      <c r="L147" s="2"/>
      <c r="W147" s="71"/>
    </row>
    <row r="148" spans="1:33">
      <c r="A148" s="56"/>
      <c r="B148" s="56"/>
      <c r="C148" s="56"/>
      <c r="D148" s="2"/>
      <c r="E148" s="2"/>
      <c r="F148" s="2"/>
      <c r="H148" s="2"/>
      <c r="I148" s="2"/>
      <c r="J148" s="2"/>
      <c r="L148" s="2"/>
      <c r="W148" s="71"/>
    </row>
    <row r="149" spans="1:33">
      <c r="A149" s="29"/>
      <c r="B149" s="56"/>
      <c r="C149" s="56"/>
      <c r="D149" s="2"/>
      <c r="E149" s="2"/>
      <c r="F149" s="2"/>
      <c r="H149" s="2"/>
      <c r="I149" s="2"/>
      <c r="J149" s="2"/>
      <c r="L149" s="2"/>
      <c r="W149" s="71"/>
    </row>
    <row r="150" spans="1:33">
      <c r="A150" s="56"/>
      <c r="B150" s="56"/>
      <c r="C150" s="56"/>
      <c r="D150" s="2"/>
      <c r="E150" s="2"/>
      <c r="F150" s="2"/>
      <c r="H150" s="2"/>
      <c r="I150" s="2"/>
      <c r="J150" s="2"/>
      <c r="L150" s="2"/>
      <c r="W150" s="71"/>
    </row>
    <row r="151" spans="1:33">
      <c r="A151" s="56"/>
      <c r="B151" s="56"/>
      <c r="C151" s="56"/>
      <c r="D151" s="2"/>
      <c r="E151" s="2"/>
      <c r="F151" s="2"/>
      <c r="H151" s="2"/>
      <c r="I151" s="2"/>
      <c r="J151" s="2"/>
      <c r="L151" s="2"/>
    </row>
    <row r="152" spans="1:33">
      <c r="A152" s="56"/>
      <c r="B152" s="56"/>
      <c r="C152" s="56"/>
      <c r="D152" s="2"/>
      <c r="E152" s="2"/>
      <c r="F152" s="2"/>
      <c r="H152" s="2"/>
      <c r="I152" s="2"/>
      <c r="J152" s="2"/>
      <c r="L152" s="2"/>
    </row>
    <row r="153" spans="1:33">
      <c r="A153" s="56"/>
      <c r="B153" s="56"/>
      <c r="C153" s="56"/>
      <c r="D153" s="2"/>
      <c r="E153" s="2"/>
      <c r="F153" s="2"/>
      <c r="H153" s="2"/>
      <c r="I153" s="2"/>
      <c r="J153" s="2"/>
      <c r="L153" s="2"/>
      <c r="AB153" s="71"/>
    </row>
    <row r="154" spans="1:33">
      <c r="A154" s="56"/>
      <c r="B154" s="56"/>
      <c r="C154" s="56"/>
      <c r="D154" s="2"/>
      <c r="E154" s="2"/>
      <c r="F154" s="2"/>
      <c r="H154" s="2"/>
      <c r="I154" s="2"/>
      <c r="J154" s="2"/>
      <c r="L154" s="2"/>
      <c r="AB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AB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AB156" s="71"/>
    </row>
    <row r="157" spans="1:33">
      <c r="A157" s="56"/>
      <c r="B157" s="56"/>
      <c r="C157" s="56"/>
      <c r="D157" s="2"/>
      <c r="E157" s="2"/>
      <c r="F157" s="2"/>
      <c r="H157" s="2"/>
      <c r="I157" s="2"/>
      <c r="J157" s="2"/>
      <c r="L157" s="2"/>
      <c r="W157" s="72"/>
      <c r="AB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2"/>
      <c r="AB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  <c r="AB159" s="71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  <c r="AB160" s="71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W163" s="7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W164" s="72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W169" s="7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  <c r="W170" s="72"/>
      <c r="AB170" s="71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AB172" s="71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</row>
    <row r="177" spans="23:28">
      <c r="AB177" s="71"/>
    </row>
    <row r="178" spans="23:28">
      <c r="AB178" s="71"/>
    </row>
    <row r="179" spans="23:28">
      <c r="AB179" s="71"/>
    </row>
    <row r="180" spans="23:28">
      <c r="AB180" s="71"/>
    </row>
    <row r="181" spans="23:28">
      <c r="W181" s="72"/>
      <c r="AB181" s="71"/>
    </row>
    <row r="182" spans="23:28">
      <c r="W182" s="72"/>
      <c r="AB182" s="71"/>
    </row>
    <row r="183" spans="23:28">
      <c r="W183" s="72"/>
    </row>
    <row r="185" spans="23:28">
      <c r="AB185" s="71"/>
    </row>
    <row r="186" spans="23:28">
      <c r="AB186" s="71"/>
    </row>
    <row r="187" spans="23:28">
      <c r="AB187" s="71"/>
    </row>
    <row r="188" spans="23:28">
      <c r="AB188" s="71"/>
    </row>
    <row r="189" spans="23:28">
      <c r="AB189" s="71"/>
    </row>
    <row r="190" spans="23:28">
      <c r="W190" s="72"/>
      <c r="AB190" s="71"/>
    </row>
    <row r="191" spans="23:28">
      <c r="W191" s="72"/>
    </row>
    <row r="192" spans="23:28">
      <c r="W192" s="72"/>
    </row>
    <row r="199" spans="23:23">
      <c r="W199" s="72"/>
    </row>
    <row r="200" spans="23:23">
      <c r="W200" s="72"/>
    </row>
    <row r="201" spans="23:23">
      <c r="W201" s="72"/>
    </row>
    <row r="211" spans="23:23">
      <c r="W211" s="72"/>
    </row>
    <row r="212" spans="23:23">
      <c r="W212" s="72"/>
    </row>
    <row r="213" spans="23:23">
      <c r="W213" s="72"/>
    </row>
    <row r="220" spans="23:23">
      <c r="W220" s="72"/>
    </row>
    <row r="221" spans="23:23">
      <c r="W221" s="72"/>
    </row>
    <row r="222" spans="23:23">
      <c r="W222" s="72"/>
    </row>
    <row r="229" spans="23:23">
      <c r="W229" s="72"/>
    </row>
    <row r="230" spans="23:23">
      <c r="W230" s="72"/>
    </row>
    <row r="231" spans="23:23">
      <c r="W231" s="72"/>
    </row>
    <row r="241" spans="23:23">
      <c r="W241" s="72"/>
    </row>
    <row r="242" spans="23:23">
      <c r="W242" s="72"/>
    </row>
    <row r="243" spans="23:23">
      <c r="W243" s="72"/>
    </row>
    <row r="250" spans="23:23">
      <c r="W250" s="72"/>
    </row>
    <row r="251" spans="23:23">
      <c r="W251" s="72"/>
    </row>
    <row r="252" spans="23:23">
      <c r="W252" s="72"/>
    </row>
    <row r="259" spans="23:23">
      <c r="W259" s="72"/>
    </row>
    <row r="260" spans="23:23">
      <c r="W260" s="72"/>
    </row>
    <row r="261" spans="23:23">
      <c r="W26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40" val="1" numFmtId="9"/>
      <inputCells r="F41" val="2" numFmtId="9"/>
      <inputCells r="F42" val="1.25" numFmtId="9"/>
      <inputCells r="F46" val="1" numFmtId="9"/>
      <inputCells r="F47" val="0.4" numFmtId="9"/>
      <inputCells r="F48" val="1" numFmtId="9"/>
      <inputCells r="F61" val="1" numFmtId="9"/>
      <inputCells r="F39" val="2.5" numFmtId="9"/>
      <inputCells r="G39" val="2" numFmtId="9"/>
      <inputCells r="F6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39" val="1" numFmtId="9"/>
      <inputCells r="F40" val="1" numFmtId="9"/>
      <inputCells r="F41" val="1" numFmtId="9"/>
      <inputCells r="F42" val="1" numFmtId="9"/>
      <inputCells r="F46" val="1" numFmtId="9"/>
      <inputCells r="F47" val="1" numFmtId="9"/>
      <inputCells r="F48" val="1" numFmtId="9"/>
      <inputCells r="F61" val="1" numFmtId="9"/>
      <inputCells r="G39" val="1" numFmtId="9"/>
      <inputCells r="F67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U7:U22">
    <cfRule type="cellIs" dxfId="255" priority="65" operator="equal">
      <formula>16</formula>
    </cfRule>
    <cfRule type="cellIs" dxfId="254" priority="66" operator="equal">
      <formula>15</formula>
    </cfRule>
    <cfRule type="cellIs" dxfId="253" priority="67" operator="equal">
      <formula>14</formula>
    </cfRule>
    <cfRule type="cellIs" dxfId="252" priority="68" operator="equal">
      <formula>13</formula>
    </cfRule>
    <cfRule type="cellIs" dxfId="251" priority="69" operator="equal">
      <formula>12</formula>
    </cfRule>
    <cfRule type="cellIs" dxfId="250" priority="70" operator="equal">
      <formula>11</formula>
    </cfRule>
    <cfRule type="cellIs" dxfId="249" priority="71" operator="equal">
      <formula>10</formula>
    </cfRule>
    <cfRule type="cellIs" dxfId="248" priority="72" operator="equal">
      <formula>9</formula>
    </cfRule>
    <cfRule type="cellIs" dxfId="247" priority="73" operator="equal">
      <formula>8</formula>
    </cfRule>
    <cfRule type="cellIs" dxfId="246" priority="74" operator="equal">
      <formula>7</formula>
    </cfRule>
    <cfRule type="cellIs" dxfId="245" priority="75" operator="equal">
      <formula>6</formula>
    </cfRule>
    <cfRule type="cellIs" dxfId="244" priority="76" operator="equal">
      <formula>5</formula>
    </cfRule>
    <cfRule type="cellIs" dxfId="243" priority="77" operator="equal">
      <formula>4</formula>
    </cfRule>
    <cfRule type="cellIs" dxfId="242" priority="78" operator="equal">
      <formula>3</formula>
    </cfRule>
    <cfRule type="cellIs" dxfId="241" priority="79" operator="equal">
      <formula>2</formula>
    </cfRule>
    <cfRule type="cellIs" dxfId="240" priority="80" operator="equal">
      <formula>1</formula>
    </cfRule>
  </conditionalFormatting>
  <conditionalFormatting sqref="N6:N31">
    <cfRule type="cellIs" dxfId="239" priority="33" operator="equal">
      <formula>16</formula>
    </cfRule>
    <cfRule type="cellIs" dxfId="238" priority="34" operator="equal">
      <formula>15</formula>
    </cfRule>
    <cfRule type="cellIs" dxfId="237" priority="35" operator="equal">
      <formula>14</formula>
    </cfRule>
    <cfRule type="cellIs" dxfId="236" priority="36" operator="equal">
      <formula>13</formula>
    </cfRule>
    <cfRule type="cellIs" dxfId="235" priority="37" operator="equal">
      <formula>12</formula>
    </cfRule>
    <cfRule type="cellIs" dxfId="234" priority="38" operator="equal">
      <formula>11</formula>
    </cfRule>
    <cfRule type="cellIs" dxfId="233" priority="39" operator="equal">
      <formula>10</formula>
    </cfRule>
    <cfRule type="cellIs" dxfId="232" priority="40" operator="equal">
      <formula>9</formula>
    </cfRule>
    <cfRule type="cellIs" dxfId="231" priority="41" operator="equal">
      <formula>8</formula>
    </cfRule>
    <cfRule type="cellIs" dxfId="230" priority="42" operator="equal">
      <formula>7</formula>
    </cfRule>
    <cfRule type="cellIs" dxfId="229" priority="43" operator="equal">
      <formula>6</formula>
    </cfRule>
    <cfRule type="cellIs" dxfId="228" priority="44" operator="equal">
      <formula>5</formula>
    </cfRule>
    <cfRule type="cellIs" dxfId="227" priority="45" operator="equal">
      <formula>4</formula>
    </cfRule>
    <cfRule type="cellIs" dxfId="226" priority="46" operator="equal">
      <formula>3</formula>
    </cfRule>
    <cfRule type="cellIs" dxfId="225" priority="47" operator="equal">
      <formula>2</formula>
    </cfRule>
    <cfRule type="cellIs" dxfId="224" priority="48" operator="equal">
      <formula>1</formula>
    </cfRule>
  </conditionalFormatting>
  <conditionalFormatting sqref="N88:N101">
    <cfRule type="cellIs" dxfId="223" priority="17" operator="equal">
      <formula>16</formula>
    </cfRule>
    <cfRule type="cellIs" dxfId="222" priority="18" operator="equal">
      <formula>15</formula>
    </cfRule>
    <cfRule type="cellIs" dxfId="221" priority="19" operator="equal">
      <formula>14</formula>
    </cfRule>
    <cfRule type="cellIs" dxfId="220" priority="20" operator="equal">
      <formula>13</formula>
    </cfRule>
    <cfRule type="cellIs" dxfId="219" priority="21" operator="equal">
      <formula>12</formula>
    </cfRule>
    <cfRule type="cellIs" dxfId="218" priority="22" operator="equal">
      <formula>11</formula>
    </cfRule>
    <cfRule type="cellIs" dxfId="217" priority="23" operator="equal">
      <formula>10</formula>
    </cfRule>
    <cfRule type="cellIs" dxfId="216" priority="24" operator="equal">
      <formula>9</formula>
    </cfRule>
    <cfRule type="cellIs" dxfId="215" priority="25" operator="equal">
      <formula>8</formula>
    </cfRule>
    <cfRule type="cellIs" dxfId="214" priority="26" operator="equal">
      <formula>7</formula>
    </cfRule>
    <cfRule type="cellIs" dxfId="213" priority="27" operator="equal">
      <formula>6</formula>
    </cfRule>
    <cfRule type="cellIs" dxfId="212" priority="28" operator="equal">
      <formula>5</formula>
    </cfRule>
    <cfRule type="cellIs" dxfId="211" priority="29" operator="equal">
      <formula>4</formula>
    </cfRule>
    <cfRule type="cellIs" dxfId="210" priority="30" operator="equal">
      <formula>3</formula>
    </cfRule>
    <cfRule type="cellIs" dxfId="209" priority="31" operator="equal">
      <formula>2</formula>
    </cfRule>
    <cfRule type="cellIs" dxfId="208" priority="32" operator="equal">
      <formula>1</formula>
    </cfRule>
  </conditionalFormatting>
  <conditionalFormatting sqref="N102:N110">
    <cfRule type="cellIs" dxfId="207" priority="1" operator="equal">
      <formula>16</formula>
    </cfRule>
    <cfRule type="cellIs" dxfId="206" priority="2" operator="equal">
      <formula>15</formula>
    </cfRule>
    <cfRule type="cellIs" dxfId="205" priority="3" operator="equal">
      <formula>14</formula>
    </cfRule>
    <cfRule type="cellIs" dxfId="204" priority="4" operator="equal">
      <formula>13</formula>
    </cfRule>
    <cfRule type="cellIs" dxfId="203" priority="5" operator="equal">
      <formula>12</formula>
    </cfRule>
    <cfRule type="cellIs" dxfId="202" priority="6" operator="equal">
      <formula>11</formula>
    </cfRule>
    <cfRule type="cellIs" dxfId="201" priority="7" operator="equal">
      <formula>10</formula>
    </cfRule>
    <cfRule type="cellIs" dxfId="200" priority="8" operator="equal">
      <formula>9</formula>
    </cfRule>
    <cfRule type="cellIs" dxfId="199" priority="9" operator="equal">
      <formula>8</formula>
    </cfRule>
    <cfRule type="cellIs" dxfId="198" priority="10" operator="equal">
      <formula>7</formula>
    </cfRule>
    <cfRule type="cellIs" dxfId="197" priority="11" operator="equal">
      <formula>6</formula>
    </cfRule>
    <cfRule type="cellIs" dxfId="196" priority="12" operator="equal">
      <formula>5</formula>
    </cfRule>
    <cfRule type="cellIs" dxfId="195" priority="13" operator="equal">
      <formula>4</formula>
    </cfRule>
    <cfRule type="cellIs" dxfId="194" priority="14" operator="equal">
      <formula>3</formula>
    </cfRule>
    <cfRule type="cellIs" dxfId="193" priority="15" operator="equal">
      <formula>2</formula>
    </cfRule>
    <cfRule type="cellIs" dxfId="19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1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I67" sqref="I67:M6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09"/>
      <c r="X1" s="113" t="s">
        <v>67</v>
      </c>
      <c r="Y1" s="114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6"/>
      <c r="AI1" s="109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09"/>
      <c r="X2" s="117" t="s">
        <v>59</v>
      </c>
      <c r="Y2" s="114" t="s">
        <v>60</v>
      </c>
      <c r="Z2" s="246" t="str">
        <f>Poor!Z2</f>
        <v>Q1</v>
      </c>
      <c r="AA2" s="247"/>
      <c r="AB2" s="246" t="str">
        <f>Poor!AB2</f>
        <v>Q2</v>
      </c>
      <c r="AC2" s="247"/>
      <c r="AD2" s="246" t="str">
        <f>Poor!AD2</f>
        <v>Q3</v>
      </c>
      <c r="AE2" s="247"/>
      <c r="AF2" s="246" t="str">
        <f>Poor!AF2</f>
        <v>Q4</v>
      </c>
      <c r="AG2" s="247"/>
      <c r="AH2" s="116"/>
      <c r="AI2" s="109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09"/>
      <c r="X3" s="117"/>
      <c r="Y3" s="114" t="s">
        <v>61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09"/>
      <c r="X4" s="117"/>
      <c r="Y4" s="114" t="s">
        <v>62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0">
        <f>IF([1]Summ!$H1044="",0,[1]Summ!$H1044)</f>
        <v>3.2182885607543142E-2</v>
      </c>
      <c r="C6" s="101">
        <f>IF([1]Summ!$I1044="",0,[1]Summ!$I1044)</f>
        <v>0</v>
      </c>
      <c r="D6" s="24">
        <f t="shared" ref="D6:D31" si="0">(B6+C6)</f>
        <v>3.2182885607543142E-2</v>
      </c>
      <c r="E6" s="75">
        <f>Poor!E6</f>
        <v>1</v>
      </c>
      <c r="F6" s="2" t="s">
        <v>21</v>
      </c>
      <c r="H6" s="24">
        <f t="shared" ref="H6:H31" si="1">(E6*F$7/F$9)</f>
        <v>1</v>
      </c>
      <c r="I6" s="22">
        <f t="shared" ref="I6:I31" si="2">(D6*H6)</f>
        <v>3.2182885607543142E-2</v>
      </c>
      <c r="J6" s="24">
        <f t="shared" ref="J6:J31" si="3">IF(I$34&lt;=1+I$123,I6,B6*H6+J$35*(I6-B6*H6))</f>
        <v>3.2182885607543142E-2</v>
      </c>
      <c r="K6" s="22">
        <f t="shared" ref="K6:K33" si="4">B6</f>
        <v>3.2182885607543142E-2</v>
      </c>
      <c r="L6" s="22">
        <f t="shared" ref="L6:L31" si="5">IF(K6="","",K6*H6)</f>
        <v>3.2182885607543142E-2</v>
      </c>
      <c r="M6" s="227">
        <f t="shared" ref="M6:M33" si="6">J6</f>
        <v>3.2182885607543142E-2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4"/>
      <c r="X6" s="117"/>
      <c r="Y6" s="183">
        <f>M6*4</f>
        <v>0.12873154243017257</v>
      </c>
      <c r="Z6" s="155">
        <f>Poor!Z6</f>
        <v>0.17</v>
      </c>
      <c r="AA6" s="120">
        <f>$M6*Z6*4</f>
        <v>2.1884362213129338E-2</v>
      </c>
      <c r="AB6" s="155">
        <f>Poor!AB6</f>
        <v>0.17</v>
      </c>
      <c r="AC6" s="120">
        <f t="shared" ref="AC6:AC31" si="7">$M6*AB6*4</f>
        <v>2.1884362213129338E-2</v>
      </c>
      <c r="AD6" s="155">
        <f>Poor!AD6</f>
        <v>0.33</v>
      </c>
      <c r="AE6" s="120">
        <f t="shared" ref="AE6:AE31" si="8">$M6*AD6*4</f>
        <v>4.2481409001956946E-2</v>
      </c>
      <c r="AF6" s="121">
        <f>1-SUM(Z6,AB6,AD6)</f>
        <v>0.32999999999999996</v>
      </c>
      <c r="AG6" s="120">
        <f>$M6*AF6*4</f>
        <v>4.2481409001956939E-2</v>
      </c>
      <c r="AH6" s="122">
        <f>SUM(Z6,AB6,AD6,AF6)</f>
        <v>1</v>
      </c>
      <c r="AI6" s="183">
        <f>SUM(AA6,AC6,AE6,AG6)/4</f>
        <v>3.2182885607543142E-2</v>
      </c>
      <c r="AJ6" s="119">
        <f>(AA6+AC6)/2</f>
        <v>2.1884362213129338E-2</v>
      </c>
      <c r="AK6" s="118">
        <f>(AE6+AG6)/2</f>
        <v>4.2481409001956946E-2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0">
        <f>IF([1]Summ!$H1045="",0,[1]Summ!$H1045)</f>
        <v>2.1455257071695429E-2</v>
      </c>
      <c r="C7" s="101">
        <f>IF([1]Summ!$I1045="",0,[1]Summ!$I1045)</f>
        <v>0</v>
      </c>
      <c r="D7" s="24">
        <f t="shared" si="0"/>
        <v>2.1455257071695429E-2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2.1455257071695429E-2</v>
      </c>
      <c r="J7" s="24">
        <f t="shared" si="3"/>
        <v>2.1455257071695429E-2</v>
      </c>
      <c r="K7" s="22">
        <f t="shared" si="4"/>
        <v>2.1455257071695429E-2</v>
      </c>
      <c r="L7" s="22">
        <f t="shared" si="5"/>
        <v>2.1455257071695429E-2</v>
      </c>
      <c r="M7" s="227">
        <f t="shared" si="6"/>
        <v>2.1455257071695429E-2</v>
      </c>
      <c r="N7" s="232">
        <v>3</v>
      </c>
      <c r="O7" s="2"/>
      <c r="P7" s="22"/>
      <c r="Q7" s="59" t="s">
        <v>71</v>
      </c>
      <c r="R7" s="225">
        <f>IF($B$78=0,0,(SUMIF($N$6:$N$30,$U7,K$6:K$30)+SUMIF($N$88:$N$110,$U7,K$88:K$110))*$I$80*Poor!$B$78/$B$78)</f>
        <v>3694.6030970263287</v>
      </c>
      <c r="S7" s="225">
        <f>IF($B$78=0,0,(SUMIF($N$6:$N$30,$U7,L$6:L$30)+SUMIF($N$88:$N$110,$U7,L$88:L$110))*$I$80*Poor!$B$78/$B$78)</f>
        <v>3694.6030970263287</v>
      </c>
      <c r="T7" s="225">
        <f>IF($B$78=0,0,(SUMIF($N$6:$N$30,$U7,M$6:M$30)+SUMIF($N$88:$N$110,$U7,M$88:M$110))*$I$80*Poor!$B$78/$B$78)</f>
        <v>3546.5023432605626</v>
      </c>
      <c r="U7" s="226">
        <v>1</v>
      </c>
      <c r="V7" s="56"/>
      <c r="W7" s="114"/>
      <c r="X7" s="117"/>
      <c r="Y7" s="183">
        <f t="shared" ref="Y7:Y31" si="9">M7*4</f>
        <v>8.5821028286781717E-2</v>
      </c>
      <c r="Z7" s="124">
        <f>IF($Y7=0,0,AA7/$Y7)</f>
        <v>0</v>
      </c>
      <c r="AA7" s="120">
        <f>IF($X7=1,IF(SUM(AA$6,AA$12:AA$31)&lt;1,IF((1-SUM(AA$6,AA$12:AA$31))*$M7/SUM($M$7*IF($X$7=1,1,0),$M$8*IF($X$8=1,1,0),$M$9*IF($X$9=1,1,0),$M$10*IF($X$10=1,1,0),$M$11*IF($X$11=1,1,0))&lt;Y7,(1-SUM(AA$6,AA$12:AA$31)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$31)&lt;1,IF(SUM(AC$6,AC$12:AC$31)+SUM((Y$7-AA$7)*IF($X$7&lt;3,1,0),(Y$8-AA$8)*IF($X$8&lt;3,1,0),(Y$9-AA$9)*IF($X$9&lt;3,1,0),(Y$10-AA$10)*IF($X$10&lt;3,1,0),(Y$11-AA$11)*IF($X$11&lt;3,1,0))&lt;1,Y7-AA7,IF((1-SUM(AC$6,AC$12:AC$31))*$M7/SUM($M$7*IF($X$7&lt;3,1,0),$M$8*IF($X$8&lt;3,1,0),$M$9*IF($X$9&lt;3,1,0),$M$10*IF($X$10&lt;3,1,0),$M$11*IF($X$11&lt;3,1,0))&lt;Y7-AA7,(1-SUM(AC$6,AC$12:AC$31)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$31)&lt;1,IF(SUM(AE$6:AE$6,AE$12:AE$31)+SUM((Y$7-AA$7-AC$7)*IF($X$7&lt;3,1,0),(Y$8-AA$8-AC$8)*IF($X$8&lt;3,1,0),(Y$9-AA$9-AC$9)*IF($X$9&lt;3,1,0),(Y$10-AA$10-AC$10)*IF($X$10&lt;3,1,0),(Y$11-AA$11-AC$11)*IF($X$11&lt;3,1,0))&lt;1,Y7-AA7-AC7,IF((1-SUM(AE$6:AE$6,AE$12:AE$31))*$M7/SUM($M$7*IF($X$7&lt;4,1,0),$M$8*IF($X$8&lt;4,1,0),$M$9*IF($X$9&lt;4,1,0),$M$10*IF($X$10&lt;4,1,0),$M$11*IF($X$11&lt;4,1,0))&lt;Y7-AA7-AC7,(1-SUM(AE$6:AE$6,AE$12:AE$31))*$M7/SUM($M$7*IF($X$7&lt;4,1,0),$M$8*IF($X$8&lt;4,1,0),$M$9*IF($X$9&lt;4,1,0),$M$10*IF($X$10&lt;4,1,0),$M$11*IF($X$11&lt;4,1,0)),Y7-AA7-AC7)),0),0)</f>
        <v>0</v>
      </c>
      <c r="AF7" s="121">
        <f t="shared" ref="AF7:AF31" si="10">1-SUM(Z7,AB7,AD7)</f>
        <v>1</v>
      </c>
      <c r="AG7" s="120">
        <f t="shared" ref="AG7:AG31" si="11">$M7*AF7*4</f>
        <v>8.5821028286781717E-2</v>
      </c>
      <c r="AH7" s="122">
        <f t="shared" ref="AH7:AH32" si="12">SUM(Z7,AB7,AD7,AF7)</f>
        <v>1</v>
      </c>
      <c r="AI7" s="183">
        <f t="shared" ref="AI7:AI32" si="13">SUM(AA7,AC7,AE7,AG7)/4</f>
        <v>2.1455257071695429E-2</v>
      </c>
      <c r="AJ7" s="119">
        <f t="shared" ref="AJ7:AJ33" si="14">(AA7+AC7)/2</f>
        <v>0</v>
      </c>
      <c r="AK7" s="118">
        <f t="shared" ref="AK7:AK33" si="15">(AE7+AG7)/2</f>
        <v>4.2910514143390859E-2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0">
        <f>IF([1]Summ!$H1046="",0,[1]Summ!$H1046)</f>
        <v>6.7502001423234296E-3</v>
      </c>
      <c r="C8" s="101">
        <f>IF([1]Summ!$I1046="",0,[1]Summ!$I1046)</f>
        <v>0</v>
      </c>
      <c r="D8" s="24">
        <f t="shared" si="0"/>
        <v>6.7502001423234296E-3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6.7502001423234296E-3</v>
      </c>
      <c r="J8" s="24">
        <f t="shared" si="3"/>
        <v>6.7502001423234296E-3</v>
      </c>
      <c r="K8" s="22">
        <f t="shared" si="4"/>
        <v>6.7502001423234296E-3</v>
      </c>
      <c r="L8" s="22">
        <f t="shared" si="5"/>
        <v>6.7502001423234296E-3</v>
      </c>
      <c r="M8" s="227">
        <f t="shared" si="6"/>
        <v>6.7502001423234296E-3</v>
      </c>
      <c r="N8" s="232">
        <v>3</v>
      </c>
      <c r="O8" s="2"/>
      <c r="P8" s="22"/>
      <c r="Q8" s="59" t="s">
        <v>72</v>
      </c>
      <c r="R8" s="225">
        <f>IF($B$78=0,0,(SUMIF($N$6:$N$30,$U8,K$6:K$30)+SUMIF($N$88:$N$110,$U8,K$88:K$110))*$I$80*Poor!$B$78/$B$78)</f>
        <v>6020</v>
      </c>
      <c r="S8" s="225">
        <f>IF($B$78=0,0,(SUMIF($N$6:$N$30,$U8,L$6:L$30)+SUMIF($N$88:$N$110,$U8,L$88:L$110))*$I$80*Poor!$B$78/$B$78)</f>
        <v>5514.2500000000009</v>
      </c>
      <c r="T8" s="225">
        <f>IF($B$78=0,0,(SUMIF($N$6:$N$30,$U8,M$6:M$30)+SUMIF($N$88:$N$110,$U8,M$88:M$110))*$I$80*Poor!$B$78/$B$78)</f>
        <v>5784.7644679059931</v>
      </c>
      <c r="U8" s="226">
        <v>2</v>
      </c>
      <c r="V8" s="56"/>
      <c r="W8" s="114"/>
      <c r="X8" s="117">
        <f>Poor!X8</f>
        <v>0</v>
      </c>
      <c r="Y8" s="183">
        <f t="shared" si="9"/>
        <v>2.7000800569293718E-2</v>
      </c>
      <c r="Z8" s="124">
        <f>IF($Y8=0,0,AA8/$Y8)</f>
        <v>0</v>
      </c>
      <c r="AA8" s="120">
        <f>IF($X8=1,IF(SUM(AA$6,AA$12:AA$31)&lt;1,IF((1-SUM(AA$6,AA$12:AA$31))*$M8/SUM($M$7*IF($X$7=1,1,0),$M$8*IF($X$8=1,1,0),$M$9*IF($X$9=1,1,0),$M$10*IF($X$10=1,1,0),$M$11*IF($X$11=1,1,0))&lt;Y8,(1-SUM(AA$6,AA$12:AA$31))*$M8/SUM($M$7*IF($X$7=1,1,0),$M$8*IF($X$8=1,1,0),$M$9*IF($X$9=1,1,0),$M$10*IF($X$10=1,1,0),$M$11*IF($X$11=1,1,0)),Y8),0),0)</f>
        <v>0</v>
      </c>
      <c r="AB8" s="124">
        <f>IF($Y8=0,0,AC8/$Y8)</f>
        <v>0</v>
      </c>
      <c r="AC8" s="120">
        <f>IF($X8&lt;3,IF(SUM(AC$6,AC$12:AC$31)&lt;1,IF(SUM(AC$6,AC$12:AC$31)+SUM((Y$7-AA$7)*IF($X$7&lt;3,1,0),(Y$8-AA$8)*IF($X$8&lt;3,1,0),(Y$9-AA$9)*IF($X$9&lt;3,1,0),(Y$10-AA$10)*IF($X$10&lt;3,1,0),(Y$11-AA$11)*IF($X$11&lt;3,1,0))&lt;1,Y8-AA8,IF((1-SUM(AC$6,AC$12:AC$31))*$M8/SUM($M$7*IF($X$7&lt;3,1,0),$M$8*IF($X$8&lt;3,1,0),$M$9*IF($X$9&lt;3,1,0),$M$10*IF($X$10&lt;3,1,0),$M$11*IF($X$11&lt;3,1,0))&lt;Y8-AA8,(1-SUM(AC$6,AC$12:AC$31))*$M8/SUM($M$7*IF($X$7&lt;3,1,0),$M$8*IF($X$8&lt;3,1,0),$M$9*IF($X$9&lt;3,1,0),$M$10*IF($X$10&lt;3,1,0),$M$11*IF($X$11&lt;3,1,0)),Y8-AA8)),0),0)</f>
        <v>0</v>
      </c>
      <c r="AD8" s="124">
        <f>IF($Y8=0,0,AE8/$Y8)</f>
        <v>0</v>
      </c>
      <c r="AE8" s="120">
        <f>IF($X8&lt;4,IF(SUM(AE$6:AE$6,AE$12:AE$31)&lt;1,IF(SUM(AE$6:AE$6,AE$12:AE$31)+SUM((Y$7-AA$7-AC$7)*IF($X$7&lt;3,1,0),(Y$8-AA$8-AC$8)*IF($X$8&lt;3,1,0),(Y$9-AA$9-AC$9)*IF($X$9&lt;3,1,0),(Y$10-AA$10-AC$10)*IF($X$10&lt;3,1,0),(Y$11-AA$11-AC$11)*IF($X$11&lt;3,1,0))&lt;1,Y8-AA8-AC8,IF((1-SUM(AE$6:AE$6,AE$12:AE$31))*$M8/SUM($M$7*IF($X$7&lt;4,1,0),$M$8*IF($X$8&lt;4,1,0),$M$9*IF($X$9&lt;4,1,0),$M$10*IF($X$10&lt;4,1,0),$M$11*IF($X$11&lt;4,1,0))&lt;Y8-AA8-AC8,(1-SUM(AE$6:AE$6,AE$12:AE$31))*$M8/SUM($M$7*IF($X$7&lt;4,1,0),$M$8*IF($X$8&lt;4,1,0),$M$9*IF($X$9&lt;4,1,0),$M$10*IF($X$10&lt;4,1,0),$M$11*IF($X$11&lt;4,1,0)),Y8-AA8-AC8)),0),0)</f>
        <v>0</v>
      </c>
      <c r="AF8" s="121">
        <f t="shared" si="10"/>
        <v>1</v>
      </c>
      <c r="AG8" s="120">
        <f t="shared" si="11"/>
        <v>2.7000800569293718E-2</v>
      </c>
      <c r="AH8" s="122">
        <f t="shared" si="12"/>
        <v>1</v>
      </c>
      <c r="AI8" s="183">
        <f t="shared" si="13"/>
        <v>6.7502001423234296E-3</v>
      </c>
      <c r="AJ8" s="119">
        <f t="shared" si="14"/>
        <v>0</v>
      </c>
      <c r="AK8" s="118">
        <f t="shared" si="15"/>
        <v>1.3500400284646859E-2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0">
        <f>IF([1]Summ!$H1047="",0,[1]Summ!$H1047)</f>
        <v>0</v>
      </c>
      <c r="C9" s="101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7">
        <f t="shared" si="6"/>
        <v>0</v>
      </c>
      <c r="N9" s="232">
        <v>1</v>
      </c>
      <c r="O9" s="2"/>
      <c r="P9" s="22"/>
      <c r="Q9" s="59" t="s">
        <v>73</v>
      </c>
      <c r="R9" s="225">
        <f>IF($B$78=0,0,(SUMIF($N$6:$N$30,$U9,K$6:K$30)+SUMIF($N$88:$N$110,$U9,K$88:K$110))*$I$80*Poor!$B$78/$B$78)</f>
        <v>401.34135855546003</v>
      </c>
      <c r="S9" s="225">
        <f>IF($B$78=0,0,(SUMIF($N$6:$N$30,$U9,L$6:L$30)+SUMIF($N$88:$N$110,$U9,L$88:L$110))*$I$80*Poor!$B$78/$B$78)</f>
        <v>401.34135855546003</v>
      </c>
      <c r="T9" s="225">
        <f>IF($B$78=0,0,(SUMIF($N$6:$N$30,$U9,M$6:M$30)+SUMIF($N$88:$N$110,$U9,M$88:M$110))*$I$80*Poor!$B$78/$B$78)</f>
        <v>401.34135855546003</v>
      </c>
      <c r="U9" s="226">
        <v>3</v>
      </c>
      <c r="V9" s="56"/>
      <c r="W9" s="114"/>
      <c r="X9" s="117">
        <f>Poor!X9</f>
        <v>4</v>
      </c>
      <c r="Y9" s="183">
        <f t="shared" si="9"/>
        <v>0</v>
      </c>
      <c r="Z9" s="124">
        <f>IF($Y9=0,0,AA9/$Y9)</f>
        <v>0</v>
      </c>
      <c r="AA9" s="120">
        <f>IF($X9=1,IF(SUM(AA$6,AA$12:AA$31)&lt;1,IF((1-SUM(AA$6,AA$12:AA$31))*$M9/SUM($M$7*IF($X$7=1,1,0),$M$8*IF($X$8=1,1,0),$M$9*IF($X$9=1,1,0),$M$10*IF($X$10=1,1,0),$M$11*IF($X$11=1,1,0))&lt;Y9,(1-SUM(AA$6,AA$12:AA$31))*$M9/SUM($M$7*IF($X$7=1,1,0),$M$8*IF($X$8=1,1,0),$M$9*IF($X$9=1,1,0),$M$10*IF($X$10=1,1,0),$M$11*IF($X$11=1,1,0)),Y9),0),0)</f>
        <v>0</v>
      </c>
      <c r="AB9" s="124">
        <f>IF($Y9=0,0,AC9/$Y9)</f>
        <v>0</v>
      </c>
      <c r="AC9" s="120">
        <f>IF($X9&lt;3,IF(SUM(AC$6,AC$12:AC$31)&lt;1,IF(SUM(AC$6,AC$12:AC$31)+SUM((Y$7-AA$7)*IF($X$7&lt;3,1,0),(Y$8-AA$8)*IF($X$8&lt;3,1,0),(Y$9-AA$9)*IF($X$9&lt;3,1,0),(Y$10-AA$10)*IF($X$10&lt;3,1,0),(Y$11-AA$11)*IF($X$11&lt;3,1,0))&lt;1,Y9-AA9,IF((1-SUM(AC$6,AC$12:AC$31))*$M9/SUM($M$7*IF($X$7&lt;3,1,0),$M$8*IF($X$8&lt;3,1,0),$M$9*IF($X$9&lt;3,1,0),$M$10*IF($X$10&lt;3,1,0),$M$11*IF($X$11&lt;3,1,0))&lt;Y9-AA9,(1-SUM(AC$6,AC$12:AC$31))*$M9/SUM($M$7*IF($X$7&lt;3,1,0),$M$8*IF($X$8&lt;3,1,0),$M$9*IF($X$9&lt;3,1,0),$M$10*IF($X$10&lt;3,1,0),$M$11*IF($X$11&lt;3,1,0)),Y9-AA9)),0),0)</f>
        <v>0</v>
      </c>
      <c r="AD9" s="124">
        <f>IF($Y9=0,0,AE9/$Y9)</f>
        <v>0</v>
      </c>
      <c r="AE9" s="120">
        <f>IF($X9&lt;4,IF(SUM(AE$6:AE$6,AE$12:AE$31)&lt;1,IF(SUM(AE$6:AE$6,AE$12:AE$31)+SUM((Y$7-AA$7-AC$7)*IF($X$7&lt;3,1,0),(Y$8-AA$8-AC$8)*IF($X$8&lt;3,1,0),(Y$9-AA$9-AC$9)*IF($X$9&lt;3,1,0),(Y$10-AA$10-AC$10)*IF($X$10&lt;3,1,0),(Y$11-AA$11-AC$11)*IF($X$11&lt;3,1,0))&lt;1,Y9-AA9-AC9,IF((1-SUM(AE$6:AE$6,AE$12:AE$31))*$M9/SUM($M$7*IF($X$7&lt;4,1,0),$M$8*IF($X$8&lt;4,1,0),$M$9*IF($X$9&lt;4,1,0),$M$10*IF($X$10&lt;4,1,0),$M$11*IF($X$11&lt;4,1,0))&lt;Y9-AA9-AC9,(1-SUM(AE$6:AE$6,AE$12:AE$31))*$M9/SUM($M$7*IF($X$7&lt;4,1,0),$M$8*IF($X$8&lt;4,1,0),$M$9*IF($X$9&lt;4,1,0),$M$10*IF($X$10&lt;4,1,0),$M$11*IF($X$11&lt;4,1,0)),Y9-AA9-AC9)),0),0)</f>
        <v>0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3">
        <f t="shared" si="13"/>
        <v>0</v>
      </c>
      <c r="AJ9" s="119">
        <f t="shared" si="14"/>
        <v>0</v>
      </c>
      <c r="AK9" s="118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0">
        <f>IF([1]Summ!$H1048="",0,[1]Summ!$H1048)</f>
        <v>0.37177309197651659</v>
      </c>
      <c r="C10" s="101">
        <f>IF([1]Summ!$I1048="",0,[1]Summ!$I1048)</f>
        <v>0.16222825831702553</v>
      </c>
      <c r="D10" s="24">
        <f t="shared" si="0"/>
        <v>0.53400135029354212</v>
      </c>
      <c r="E10" s="75">
        <f>Poor!E10</f>
        <v>1</v>
      </c>
      <c r="H10" s="24">
        <f t="shared" si="1"/>
        <v>1</v>
      </c>
      <c r="I10" s="22">
        <f t="shared" si="2"/>
        <v>0.53400135029354212</v>
      </c>
      <c r="J10" s="24">
        <f t="shared" si="3"/>
        <v>0.36233594537623787</v>
      </c>
      <c r="K10" s="22">
        <f t="shared" si="4"/>
        <v>0.37177309197651659</v>
      </c>
      <c r="L10" s="22">
        <f t="shared" si="5"/>
        <v>0.37177309197651659</v>
      </c>
      <c r="M10" s="227">
        <f t="shared" si="6"/>
        <v>0.36233594537623787</v>
      </c>
      <c r="N10" s="232">
        <v>1</v>
      </c>
      <c r="O10" s="2"/>
      <c r="P10" s="22"/>
      <c r="Q10" s="59" t="s">
        <v>74</v>
      </c>
      <c r="R10" s="225">
        <f>IF($B$78=0,0,(SUMIF($N$6:$N$30,$U10,K$6:K$30)+SUMIF($N$88:$N$110,$U10,K$88:K$110))*$I$80*Poor!$B$78/$B$78)</f>
        <v>0</v>
      </c>
      <c r="S10" s="225">
        <f>IF($B$78=0,0,(SUMIF($N$6:$N$30,$U10,L$6:L$30)+SUMIF($N$88:$N$110,$U10,L$88:L$110))*$I$80*Poor!$B$78/$B$78)</f>
        <v>0</v>
      </c>
      <c r="T10" s="225">
        <f>IF($B$78=0,0,(SUMIF($N$6:$N$30,$U10,M$6:M$30)+SUMIF($N$88:$N$110,$U10,M$88:M$110))*$I$80*Poor!$B$78/$B$78)</f>
        <v>0</v>
      </c>
      <c r="U10" s="226">
        <v>4</v>
      </c>
      <c r="V10" s="56"/>
      <c r="W10" s="114"/>
      <c r="X10" s="117">
        <f>Poor!X10</f>
        <v>1</v>
      </c>
      <c r="Y10" s="183">
        <f t="shared" si="9"/>
        <v>1.4493437815049515</v>
      </c>
      <c r="Z10" s="124">
        <f>IF($Y10=0,0,AA10/$Y10)</f>
        <v>0</v>
      </c>
      <c r="AA10" s="120">
        <f>IF($X10=1,IF(SUM(AA$6,AA$12:AA$31)&lt;1,IF((1-SUM(AA$6,AA$12:AA$31))*$M10/SUM($M$7*IF($X$7=1,1,0),$M$8*IF($X$8=1,1,0),$M$9*IF($X$9=1,1,0),$M$10*IF($X$10=1,1,0),$M$11*IF($X$11=1,1,0))&lt;Y10,(1-SUM(AA$6,AA$12:AA$31))*$M10/SUM($M$7*IF($X$7=1,1,0),$M$8*IF($X$8=1,1,0),$M$9*IF($X$9=1,1,0),$M$10*IF($X$10=1,1,0),$M$11*IF($X$11=1,1,0)),Y10),0),0)</f>
        <v>0</v>
      </c>
      <c r="AB10" s="124">
        <f>IF($Y10=0,0,AC10/$Y10)</f>
        <v>0</v>
      </c>
      <c r="AC10" s="120">
        <f>IF($X10&lt;3,IF(SUM(AC$6,AC$12:AC$31)&lt;1,IF(SUM(AC$6,AC$12:AC$31)+SUM((Y$7-AA$7)*IF($X$7&lt;3,1,0),(Y$8-AA$8)*IF($X$8&lt;3,1,0),(Y$9-AA$9)*IF($X$9&lt;3,1,0),(Y$10-AA$10)*IF($X$10&lt;3,1,0),(Y$11-AA$11)*IF($X$11&lt;3,1,0))&lt;1,Y10-AA10,IF((1-SUM(AC$6,AC$12:AC$31))*$M10/SUM($M$7*IF($X$7&lt;3,1,0),$M$8*IF($X$8&lt;3,1,0),$M$9*IF($X$9&lt;3,1,0),$M$10*IF($X$10&lt;3,1,0),$M$11*IF($X$11&lt;3,1,0))&lt;Y10-AA10,(1-SUM(AC$6,AC$12:AC$31))*$M10/SUM($M$7*IF($X$7&lt;3,1,0),$M$8*IF($X$8&lt;3,1,0),$M$9*IF($X$9&lt;3,1,0),$M$10*IF($X$10&lt;3,1,0),$M$11*IF($X$11&lt;3,1,0)),Y10-AA10)),0),0)</f>
        <v>0</v>
      </c>
      <c r="AD10" s="124">
        <f>IF($Y10=0,0,AE10/$Y10)</f>
        <v>0</v>
      </c>
      <c r="AE10" s="120">
        <f>IF($X10&lt;4,IF(SUM(AE$6:AE$6,AE$12:AE$31)&lt;1,IF(SUM(AE$6:AE$6,AE$12:AE$31)+SUM((Y$7-AA$7-AC$7)*IF($X$7&lt;3,1,0),(Y$8-AA$8-AC$8)*IF($X$8&lt;3,1,0),(Y$9-AA$9-AC$9)*IF($X$9&lt;3,1,0),(Y$10-AA$10-AC$10)*IF($X$10&lt;3,1,0),(Y$11-AA$11-AC$11)*IF($X$11&lt;3,1,0))&lt;1,Y10-AA10-AC10,IF((1-SUM(AE$6:AE$6,AE$12:AE$31))*$M10/SUM($M$7*IF($X$7&lt;4,1,0),$M$8*IF($X$8&lt;4,1,0),$M$9*IF($X$9&lt;4,1,0),$M$10*IF($X$10&lt;4,1,0),$M$11*IF($X$11&lt;4,1,0))&lt;Y10-AA10-AC10,(1-SUM(AE$6:AE$6,AE$12:AE$31))*$M10/SUM($M$7*IF($X$7&lt;4,1,0),$M$8*IF($X$8&lt;4,1,0),$M$9*IF($X$9&lt;4,1,0),$M$10*IF($X$10&lt;4,1,0),$M$11*IF($X$11&lt;4,1,0)),Y10-AA10-AC10)),0),0)</f>
        <v>0</v>
      </c>
      <c r="AF10" s="121">
        <f t="shared" si="10"/>
        <v>1</v>
      </c>
      <c r="AG10" s="120">
        <f t="shared" si="11"/>
        <v>1.4493437815049515</v>
      </c>
      <c r="AH10" s="122">
        <f t="shared" si="12"/>
        <v>1</v>
      </c>
      <c r="AI10" s="183">
        <f t="shared" si="13"/>
        <v>0.36233594537623787</v>
      </c>
      <c r="AJ10" s="119">
        <f t="shared" si="14"/>
        <v>0</v>
      </c>
      <c r="AK10" s="118">
        <f t="shared" si="15"/>
        <v>0.72467189075247573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0">
        <f>IF([1]Summ!$H1049="",0,[1]Summ!$H1049)</f>
        <v>5.0696050524817647E-2</v>
      </c>
      <c r="C11" s="101">
        <f>IF([1]Summ!$I1049="",0,[1]Summ!$I1049)</f>
        <v>5.4075787226472154E-2</v>
      </c>
      <c r="D11" s="24">
        <f t="shared" si="0"/>
        <v>0.1047718377512898</v>
      </c>
      <c r="E11" s="75">
        <f>Poor!E11</f>
        <v>1</v>
      </c>
      <c r="H11" s="24">
        <f t="shared" si="1"/>
        <v>1</v>
      </c>
      <c r="I11" s="22">
        <f t="shared" si="2"/>
        <v>0.1047718377512898</v>
      </c>
      <c r="J11" s="24">
        <f t="shared" si="3"/>
        <v>4.7550352377800441E-2</v>
      </c>
      <c r="K11" s="22">
        <f t="shared" si="4"/>
        <v>5.0696050524817647E-2</v>
      </c>
      <c r="L11" s="22">
        <f t="shared" si="5"/>
        <v>5.0696050524817647E-2</v>
      </c>
      <c r="M11" s="227">
        <f t="shared" si="6"/>
        <v>4.7550352377800441E-2</v>
      </c>
      <c r="N11" s="232">
        <v>1</v>
      </c>
      <c r="O11" s="2"/>
      <c r="P11" s="22"/>
      <c r="Q11" s="59" t="s">
        <v>75</v>
      </c>
      <c r="R11" s="225">
        <f>IF($B$78=0,0,(SUMIF($N$6:$N$30,$U11,K$6:K$30)+SUMIF($N$88:$N$110,$U11,K$88:K$110))*$I$80*Poor!$B$78/$B$78)</f>
        <v>9856</v>
      </c>
      <c r="S11" s="225">
        <f>IF($B$78=0,0,(SUMIF($N$6:$N$30,$U11,L$6:L$30)+SUMIF($N$88:$N$110,$U11,L$88:L$110))*$I$80*Poor!$B$78/$B$78)</f>
        <v>9524.0000000000018</v>
      </c>
      <c r="T11" s="225">
        <f>IF($B$78=0,0,(SUMIF($N$6:$N$30,$U11,M$6:M$30)+SUMIF($N$88:$N$110,$U11,M$88:M$110))*$I$80*Poor!$B$78/$B$78)</f>
        <v>9378.4245027827019</v>
      </c>
      <c r="U11" s="226">
        <v>5</v>
      </c>
      <c r="V11" s="56"/>
      <c r="W11" s="114"/>
      <c r="X11" s="117">
        <f>Poor!X11</f>
        <v>1</v>
      </c>
      <c r="Y11" s="183">
        <f t="shared" si="9"/>
        <v>0.19020140951120176</v>
      </c>
      <c r="Z11" s="124">
        <f>IF($Y11=0,0,AA11/$Y11)</f>
        <v>0</v>
      </c>
      <c r="AA11" s="120">
        <f>IF($X11=1,IF(SUM(AA$6,AA$12:AA$31)&lt;1,IF((1-SUM(AA$6,AA$12:AA$31))*$M11/SUM($M$7*IF($X$7=1,1,0),$M$8*IF($X$8=1,1,0),$M$9*IF($X$9=1,1,0),$M$10*IF($X$10=1,1,0),$M$11*IF($X$11=1,1,0))&lt;Y11,(1-SUM(AA$6,AA$12:AA$31))*$M11/SUM($M$7*IF($X$7=1,1,0),$M$8*IF($X$8=1,1,0),$M$9*IF($X$9=1,1,0),$M$10*IF($X$10=1,1,0),$M$11*IF($X$11=1,1,0)),Y11),0),0)</f>
        <v>0</v>
      </c>
      <c r="AB11" s="124">
        <f>IF($Y11=0,0,AC11/$Y11)</f>
        <v>0</v>
      </c>
      <c r="AC11" s="120">
        <f>IF($X11&lt;3,IF(SUM(AC$6,AC$12:AC$31)&lt;1,IF(SUM(AC$6,AC$12:AC$31)+SUM((Y$7-AA$7)*IF($X$7&lt;3,1,0),(Y$8-AA$8)*IF($X$8&lt;3,1,0),(Y$9-AA$9)*IF($X$9&lt;3,1,0),(Y$10-AA$10)*IF($X$10&lt;3,1,0),(Y$11-AA$11)*IF($X$11&lt;3,1,0))&lt;1,Y11-AA11,IF((1-SUM(AC$6,AC$12:AC$31))*$M11/SUM($M$7*IF($X$7&lt;3,1,0),$M$8*IF($X$8&lt;3,1,0),$M$9*IF($X$9&lt;3,1,0),$M$10*IF($X$10&lt;3,1,0),$M$11*IF($X$11&lt;3,1,0))&lt;Y11-AA11,(1-SUM(AC$6,AC$12:AC$31))*$M11/SUM($M$7*IF($X$7&lt;3,1,0),$M$8*IF($X$8&lt;3,1,0),$M$9*IF($X$9&lt;3,1,0),$M$10*IF($X$10&lt;3,1,0),$M$11*IF($X$11&lt;3,1,0)),Y11-AA11)),0),0)</f>
        <v>0</v>
      </c>
      <c r="AD11" s="124">
        <f>IF($Y11=0,0,AE11/$Y11)</f>
        <v>0</v>
      </c>
      <c r="AE11" s="120">
        <f>IF($X11&lt;4,IF(SUM(AE$6:AE$6,AE$12:AE$31)&lt;1,IF(SUM(AE$6:AE$6,AE$12:AE$31)+SUM((Y$7-AA$7-AC$7)*IF($X$7&lt;3,1,0),(Y$8-AA$8-AC$8)*IF($X$8&lt;3,1,0),(Y$9-AA$9-AC$9)*IF($X$9&lt;3,1,0),(Y$10-AA$10-AC$10)*IF($X$10&lt;3,1,0),(Y$11-AA$11-AC$11)*IF($X$11&lt;3,1,0))&lt;1,Y11-AA11-AC11,IF((1-SUM(AE$6:AE$6,AE$12:AE$31))*$M11/SUM($M$7*IF($X$7&lt;4,1,0),$M$8*IF($X$8&lt;4,1,0),$M$9*IF($X$9&lt;4,1,0),$M$10*IF($X$10&lt;4,1,0),$M$11*IF($X$11&lt;4,1,0))&lt;Y11-AA11-AC11,(1-SUM(AE$6:AE$6,AE$12:AE$31))*$M11/SUM($M$7*IF($X$7&lt;4,1,0),$M$8*IF($X$8&lt;4,1,0),$M$9*IF($X$9&lt;4,1,0),$M$10*IF($X$10&lt;4,1,0),$M$11*IF($X$11&lt;4,1,0)),Y11-AA11-AC11)),0),0)</f>
        <v>0</v>
      </c>
      <c r="AF11" s="121">
        <f t="shared" si="10"/>
        <v>1</v>
      </c>
      <c r="AG11" s="120">
        <f t="shared" si="11"/>
        <v>0.19020140951120176</v>
      </c>
      <c r="AH11" s="122">
        <f t="shared" si="12"/>
        <v>1</v>
      </c>
      <c r="AI11" s="183">
        <f t="shared" si="13"/>
        <v>4.7550352377800441E-2</v>
      </c>
      <c r="AJ11" s="119">
        <f t="shared" si="14"/>
        <v>0</v>
      </c>
      <c r="AK11" s="118">
        <f t="shared" si="15"/>
        <v>9.5100704755600882E-2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0">
        <f>IF([1]Summ!$H1050="",0,[1]Summ!$H1050)</f>
        <v>1.1396199964419141E-2</v>
      </c>
      <c r="C12" s="101">
        <f>IF([1]Summ!$I1050="",0,[1]Summ!$I1050)</f>
        <v>0</v>
      </c>
      <c r="D12" s="24">
        <f t="shared" si="0"/>
        <v>1.1396199964419141E-2</v>
      </c>
      <c r="E12" s="75">
        <f>Poor!E12</f>
        <v>1</v>
      </c>
      <c r="H12" s="24">
        <f t="shared" si="1"/>
        <v>1</v>
      </c>
      <c r="I12" s="22">
        <f t="shared" si="2"/>
        <v>1.1396199964419141E-2</v>
      </c>
      <c r="J12" s="24">
        <f t="shared" si="3"/>
        <v>1.1396199964419141E-2</v>
      </c>
      <c r="K12" s="22">
        <f t="shared" si="4"/>
        <v>1.1396199964419141E-2</v>
      </c>
      <c r="L12" s="22">
        <f t="shared" si="5"/>
        <v>1.1396199964419141E-2</v>
      </c>
      <c r="M12" s="227">
        <f t="shared" si="6"/>
        <v>1.1396199964419141E-2</v>
      </c>
      <c r="N12" s="232">
        <v>1</v>
      </c>
      <c r="O12" s="2"/>
      <c r="P12" s="22"/>
      <c r="Q12" s="125" t="s">
        <v>124</v>
      </c>
      <c r="R12" s="225">
        <f>IF($B$78=0,0,(SUMIF($N$6:$N$30,$U12,K$6:K$30)+SUMIF($N$88:$N$110,$U12,K$88:K$110))*$I$80*Poor!$B$78/$B$78)</f>
        <v>0</v>
      </c>
      <c r="S12" s="225">
        <f>IF($B$78=0,0,(SUMIF($N$6:$N$30,$U12,L$6:L$30)+SUMIF($N$88:$N$110,$U12,L$88:L$110))*$I$80*Poor!$B$78/$B$78)</f>
        <v>0</v>
      </c>
      <c r="T12" s="225">
        <f>IF($B$78=0,0,(SUMIF($N$6:$N$30,$U12,M$6:M$30)+SUMIF($N$88:$N$110,$U12,M$88:M$110))*$I$80*Poor!$B$78/$B$78)</f>
        <v>0</v>
      </c>
      <c r="U12" s="226">
        <v>6</v>
      </c>
      <c r="V12" s="56"/>
      <c r="W12" s="116"/>
      <c r="X12" s="117">
        <f>Poor!X12</f>
        <v>1</v>
      </c>
      <c r="Y12" s="183">
        <f t="shared" si="9"/>
        <v>4.5584799857676564E-2</v>
      </c>
      <c r="Z12" s="155">
        <f>Poor!Z12</f>
        <v>0</v>
      </c>
      <c r="AA12" s="120">
        <f>$M12*Z12*4</f>
        <v>0</v>
      </c>
      <c r="AB12" s="155">
        <f>Poor!AB12</f>
        <v>0</v>
      </c>
      <c r="AC12" s="120">
        <f>$M12*AB12*4</f>
        <v>0</v>
      </c>
      <c r="AD12" s="155">
        <f>Poor!AD12</f>
        <v>0.67</v>
      </c>
      <c r="AE12" s="120">
        <f>$M12*AD12*4</f>
        <v>3.0541815904643301E-2</v>
      </c>
      <c r="AF12" s="121">
        <f>1-SUM(Z12,AB12,AD12)</f>
        <v>0.32999999999999996</v>
      </c>
      <c r="AG12" s="120">
        <f>$M12*AF12*4</f>
        <v>1.5042983953033265E-2</v>
      </c>
      <c r="AH12" s="122">
        <f t="shared" si="12"/>
        <v>1</v>
      </c>
      <c r="AI12" s="183">
        <f t="shared" si="13"/>
        <v>1.1396199964419141E-2</v>
      </c>
      <c r="AJ12" s="119">
        <f t="shared" si="14"/>
        <v>0</v>
      </c>
      <c r="AK12" s="118">
        <f t="shared" si="15"/>
        <v>2.2792399928838282E-2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0">
        <f>IF([1]Summ!$H1051="",0,[1]Summ!$H1051)</f>
        <v>0</v>
      </c>
      <c r="C13" s="101">
        <f>IF([1]Summ!$I1051="",0,[1]Summ!$I1051)</f>
        <v>1.8937802882049458E-2</v>
      </c>
      <c r="D13" s="24">
        <f t="shared" si="0"/>
        <v>1.8937802882049458E-2</v>
      </c>
      <c r="E13" s="75">
        <f>Poor!E13</f>
        <v>1</v>
      </c>
      <c r="H13" s="24">
        <f t="shared" si="1"/>
        <v>1</v>
      </c>
      <c r="I13" s="22">
        <f t="shared" si="2"/>
        <v>1.8937802882049458E-2</v>
      </c>
      <c r="J13" s="24">
        <f t="shared" si="3"/>
        <v>-1.1016503779250953E-3</v>
      </c>
      <c r="K13" s="22">
        <f t="shared" si="4"/>
        <v>0</v>
      </c>
      <c r="L13" s="22">
        <f t="shared" si="5"/>
        <v>0</v>
      </c>
      <c r="M13" s="228">
        <f t="shared" si="6"/>
        <v>-1.1016503779250953E-3</v>
      </c>
      <c r="N13" s="232">
        <v>1</v>
      </c>
      <c r="O13" s="2"/>
      <c r="P13" s="22"/>
      <c r="Q13" s="59" t="s">
        <v>76</v>
      </c>
      <c r="R13" s="225">
        <f>IF($B$78=0,0,(SUMIF($N$6:$N$30,$U13,K$6:K$30)+SUMIF($N$88:$N$110,$U13,K$88:K$110))*$I$80*Poor!$B$78/$B$78)</f>
        <v>898.47513812154705</v>
      </c>
      <c r="S13" s="225">
        <f>IF($B$78=0,0,(SUMIF($N$6:$N$30,$U13,L$6:L$30)+SUMIF($N$88:$N$110,$U13,L$88:L$110))*$I$80*Poor!$B$78/$B$78)</f>
        <v>781.67337016574584</v>
      </c>
      <c r="T13" s="225">
        <f>IF($B$78=0,0,(SUMIF($N$6:$N$30,$U13,M$6:M$30)+SUMIF($N$88:$N$110,$U13,M$88:M$110))*$I$80*Poor!$B$78/$B$78)</f>
        <v>781.67337016574584</v>
      </c>
      <c r="U13" s="226">
        <v>7</v>
      </c>
      <c r="V13" s="56"/>
      <c r="W13" s="109"/>
      <c r="X13" s="117">
        <f>Poor!X13</f>
        <v>1</v>
      </c>
      <c r="Y13" s="183">
        <f t="shared" si="9"/>
        <v>-4.4066015117003813E-3</v>
      </c>
      <c r="Z13" s="155">
        <f>Poor!Z13</f>
        <v>1</v>
      </c>
      <c r="AA13" s="120">
        <f>$M13*Z13*4</f>
        <v>-4.4066015117003813E-3</v>
      </c>
      <c r="AB13" s="155">
        <f>Poor!AB13</f>
        <v>0</v>
      </c>
      <c r="AC13" s="120">
        <f>$M13*AB13*4</f>
        <v>0</v>
      </c>
      <c r="AD13" s="155">
        <f>Poor!AD13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3">
        <f t="shared" si="13"/>
        <v>-1.1016503779250953E-3</v>
      </c>
      <c r="AJ13" s="119">
        <f t="shared" si="14"/>
        <v>-2.2033007558501906E-3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0">
        <f>IF([1]Summ!$H1052="",0,[1]Summ!$H1052)</f>
        <v>1.2763476249777621E-2</v>
      </c>
      <c r="C14" s="101">
        <f>IF([1]Summ!$I1052="",0,[1]Summ!$I1052)</f>
        <v>0</v>
      </c>
      <c r="D14" s="24">
        <f t="shared" si="0"/>
        <v>1.2763476249777621E-2</v>
      </c>
      <c r="E14" s="75">
        <f>Poor!E14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 t="shared" si="3"/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8">
        <f t="shared" si="6"/>
        <v>1.2763476249777621E-2</v>
      </c>
      <c r="N14" s="232">
        <v>1</v>
      </c>
      <c r="O14" s="2"/>
      <c r="P14" s="22"/>
      <c r="Q14" s="125" t="s">
        <v>77</v>
      </c>
      <c r="R14" s="225">
        <f>IF($B$78=0,0,(SUMIF($N$6:$N$30,$U14,K$6:K$30)+SUMIF($N$88:$N$110,$U14,K$88:K$110))*$I$80*Poor!$B$78/$B$78)</f>
        <v>73920</v>
      </c>
      <c r="S14" s="225">
        <f>IF($B$78=0,0,(SUMIF($N$6:$N$30,$U14,L$6:L$30)+SUMIF($N$88:$N$110,$U14,L$88:L$110))*$I$80*Poor!$B$78/$B$78)</f>
        <v>70620</v>
      </c>
      <c r="T14" s="225">
        <f>IF($B$78=0,0,(SUMIF($N$6:$N$30,$U14,M$6:M$30)+SUMIF($N$88:$N$110,$U14,M$88:M$110))*$I$80*Poor!$B$78/$B$78)</f>
        <v>70620</v>
      </c>
      <c r="U14" s="226">
        <v>8</v>
      </c>
      <c r="V14" s="56"/>
      <c r="W14" s="109"/>
      <c r="X14" s="117">
        <f>Poor!X14</f>
        <v>1</v>
      </c>
      <c r="Y14" s="183">
        <f>M14*4</f>
        <v>5.1053904999110486E-2</v>
      </c>
      <c r="Z14" s="155">
        <f>Poor!Z14</f>
        <v>0</v>
      </c>
      <c r="AA14" s="120">
        <f t="shared" ref="AA14:AA31" si="16">$M14*Z14*4</f>
        <v>0</v>
      </c>
      <c r="AB14" s="155">
        <f>Poor!AB14</f>
        <v>1</v>
      </c>
      <c r="AC14" s="120">
        <f t="shared" si="7"/>
        <v>5.1053904999110486E-2</v>
      </c>
      <c r="AD14" s="155">
        <f>Poor!AD14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3">
        <f>SUM(AA14,AC14,AE14,AG14)/4</f>
        <v>1.2763476249777621E-2</v>
      </c>
      <c r="AJ14" s="119">
        <f t="shared" si="14"/>
        <v>2.5526952499555243E-2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0">
        <f>IF([1]Summ!$H1053="",0,[1]Summ!$H1053)</f>
        <v>2.1215086283579435E-2</v>
      </c>
      <c r="C15" s="101">
        <f>IF([1]Summ!$I1053="",0,[1]Summ!$I1053)</f>
        <v>0.10607543141789719</v>
      </c>
      <c r="D15" s="24">
        <f t="shared" si="0"/>
        <v>0.12729051770147662</v>
      </c>
      <c r="E15" s="75">
        <f>Poor!E15</f>
        <v>1</v>
      </c>
      <c r="F15" s="22"/>
      <c r="H15" s="24">
        <f t="shared" si="1"/>
        <v>1</v>
      </c>
      <c r="I15" s="22">
        <f t="shared" si="2"/>
        <v>0.12729051770147662</v>
      </c>
      <c r="J15" s="24">
        <f t="shared" si="3"/>
        <v>1.5044463437945108E-2</v>
      </c>
      <c r="K15" s="22">
        <f t="shared" si="4"/>
        <v>2.1215086283579435E-2</v>
      </c>
      <c r="L15" s="22">
        <f t="shared" si="5"/>
        <v>2.1215086283579435E-2</v>
      </c>
      <c r="M15" s="229">
        <f t="shared" si="6"/>
        <v>1.5044463437945108E-2</v>
      </c>
      <c r="N15" s="232">
        <v>1</v>
      </c>
      <c r="O15" s="2"/>
      <c r="P15" s="22"/>
      <c r="Q15" s="59" t="s">
        <v>126</v>
      </c>
      <c r="R15" s="225">
        <f>IF($B$78=0,0,(SUMIF($N$6:$N$30,$U15,K$6:K$30)+SUMIF($N$88:$N$110,$U15,K$88:K$110))*$I$80*Poor!$B$78/$B$78)</f>
        <v>0</v>
      </c>
      <c r="S15" s="225">
        <f>IF($B$78=0,0,(SUMIF($N$6:$N$30,$U15,L$6:L$30)+SUMIF($N$88:$N$110,$U15,L$88:L$110))*$I$80*Poor!$B$78/$B$78)</f>
        <v>0</v>
      </c>
      <c r="T15" s="225">
        <f>IF($B$78=0,0,(SUMIF($N$6:$N$30,$U15,M$6:M$30)+SUMIF($N$88:$N$110,$U15,M$88:M$110))*$I$80*Poor!$B$78/$B$78)</f>
        <v>0</v>
      </c>
      <c r="U15" s="226">
        <v>9</v>
      </c>
      <c r="V15" s="56"/>
      <c r="W15" s="109"/>
      <c r="X15" s="117">
        <f>Poor!X15</f>
        <v>1</v>
      </c>
      <c r="Y15" s="183">
        <f t="shared" si="9"/>
        <v>6.0177853751780433E-2</v>
      </c>
      <c r="Z15" s="155">
        <f>Poor!Z15</f>
        <v>0.25</v>
      </c>
      <c r="AA15" s="120">
        <f t="shared" si="16"/>
        <v>1.5044463437945108E-2</v>
      </c>
      <c r="AB15" s="155">
        <f>Poor!AB15</f>
        <v>0.25</v>
      </c>
      <c r="AC15" s="120">
        <f t="shared" si="7"/>
        <v>1.5044463437945108E-2</v>
      </c>
      <c r="AD15" s="155">
        <f>Poor!AD15</f>
        <v>0.25</v>
      </c>
      <c r="AE15" s="120">
        <f t="shared" si="8"/>
        <v>1.5044463437945108E-2</v>
      </c>
      <c r="AF15" s="121">
        <f t="shared" si="10"/>
        <v>0.25</v>
      </c>
      <c r="AG15" s="120">
        <f t="shared" si="11"/>
        <v>1.5044463437945108E-2</v>
      </c>
      <c r="AH15" s="122">
        <f t="shared" si="12"/>
        <v>1</v>
      </c>
      <c r="AI15" s="183">
        <f t="shared" si="13"/>
        <v>1.5044463437945108E-2</v>
      </c>
      <c r="AJ15" s="119">
        <f t="shared" si="14"/>
        <v>1.5044463437945108E-2</v>
      </c>
      <c r="AK15" s="118">
        <f t="shared" si="15"/>
        <v>1.5044463437945108E-2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0">
        <f>IF([1]Summ!$H1054="",0,[1]Summ!$H1054)</f>
        <v>6.4379114036648283E-2</v>
      </c>
      <c r="C16" s="101">
        <f>IF([1]Summ!$I1054="",0,[1]Summ!$I1054)</f>
        <v>3.8627468421988956E-2</v>
      </c>
      <c r="D16" s="24">
        <f t="shared" si="0"/>
        <v>0.10300658245863724</v>
      </c>
      <c r="E16" s="75">
        <f>Poor!E16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 t="shared" si="3"/>
        <v>6.2132075906068236E-2</v>
      </c>
      <c r="K16" s="22">
        <f t="shared" si="4"/>
        <v>6.4379114036648283E-2</v>
      </c>
      <c r="L16" s="22">
        <f t="shared" si="5"/>
        <v>6.4379114036648283E-2</v>
      </c>
      <c r="M16" s="227">
        <f t="shared" si="6"/>
        <v>6.2132075906068236E-2</v>
      </c>
      <c r="N16" s="232">
        <v>1</v>
      </c>
      <c r="O16" s="2"/>
      <c r="P16" s="22"/>
      <c r="Q16" s="125" t="s">
        <v>78</v>
      </c>
      <c r="R16" s="225">
        <f>IF($B$78=0,0,(SUMIF($N$6:$N$30,$U16,K$6:K$30)+SUMIF($N$88:$N$110,$U16,K$88:K$110))*$I$80*Poor!$B$78/$B$78)</f>
        <v>7660.8000000000011</v>
      </c>
      <c r="S16" s="225">
        <f>IF($B$78=0,0,(SUMIF($N$6:$N$30,$U16,L$6:L$30)+SUMIF($N$88:$N$110,$U16,L$88:L$110))*$I$80*Poor!$B$78/$B$78)</f>
        <v>7524.0000000000009</v>
      </c>
      <c r="T16" s="225">
        <f>IF($B$78=0,0,(SUMIF($N$6:$N$30,$U16,M$6:M$30)+SUMIF($N$88:$N$110,$U16,M$88:M$110))*$I$80*Poor!$B$78/$B$78)</f>
        <v>7436.4627339809831</v>
      </c>
      <c r="U16" s="226">
        <v>10</v>
      </c>
      <c r="V16" s="56"/>
      <c r="W16" s="109"/>
      <c r="X16" s="117">
        <f>Poor!X16</f>
        <v>1</v>
      </c>
      <c r="Y16" s="183">
        <f t="shared" si="9"/>
        <v>0.24852830362427294</v>
      </c>
      <c r="Z16" s="155">
        <f>Poor!Z16</f>
        <v>0</v>
      </c>
      <c r="AA16" s="120">
        <f t="shared" si="16"/>
        <v>0</v>
      </c>
      <c r="AB16" s="155">
        <f>Poor!AB16</f>
        <v>0</v>
      </c>
      <c r="AC16" s="120">
        <f t="shared" si="7"/>
        <v>0</v>
      </c>
      <c r="AD16" s="155">
        <f>Poor!AD16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0.24852830362427294</v>
      </c>
      <c r="AH16" s="122">
        <f t="shared" si="12"/>
        <v>1</v>
      </c>
      <c r="AI16" s="183">
        <f t="shared" si="13"/>
        <v>6.2132075906068236E-2</v>
      </c>
      <c r="AJ16" s="119">
        <f t="shared" si="14"/>
        <v>0</v>
      </c>
      <c r="AK16" s="118">
        <f t="shared" si="15"/>
        <v>0.12426415181213647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0">
        <f>IF([1]Summ!$H1055="",0,[1]Summ!$H1055)</f>
        <v>2.369017968333037E-2</v>
      </c>
      <c r="C17" s="101">
        <f>IF([1]Summ!$I1055="",0,[1]Summ!$I1055)</f>
        <v>3.1288916562889138E-3</v>
      </c>
      <c r="D17" s="24">
        <f t="shared" si="0"/>
        <v>2.6819071339619284E-2</v>
      </c>
      <c r="E17" s="75">
        <f>Poor!E17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si="3"/>
        <v>2.3508165713858515E-2</v>
      </c>
      <c r="K17" s="22">
        <f t="shared" si="4"/>
        <v>2.369017968333037E-2</v>
      </c>
      <c r="L17" s="22">
        <f t="shared" si="5"/>
        <v>2.369017968333037E-2</v>
      </c>
      <c r="M17" s="228">
        <f t="shared" si="6"/>
        <v>2.3508165713858515E-2</v>
      </c>
      <c r="N17" s="232">
        <v>1</v>
      </c>
      <c r="O17" s="2"/>
      <c r="P17" s="22"/>
      <c r="Q17" s="125" t="s">
        <v>125</v>
      </c>
      <c r="R17" s="225">
        <f>IF($B$78=0,0,(SUMIF($N$6:$N$30,$U17,K$6:K$30)+SUMIF($N$88:$N$110,$U17,K$88:K$110))*$I$80*Poor!$B$78/$B$78)</f>
        <v>0</v>
      </c>
      <c r="S17" s="225">
        <f>IF($B$78=0,0,(SUMIF($N$6:$N$30,$U17,L$6:L$30)+SUMIF($N$88:$N$110,$U17,L$88:L$110))*$I$80*Poor!$B$78/$B$78)</f>
        <v>0</v>
      </c>
      <c r="T17" s="225">
        <f>IF($B$78=0,0,(SUMIF($N$6:$N$30,$U17,M$6:M$30)+SUMIF($N$88:$N$110,$U17,M$88:M$110))*$I$80*Poor!$B$78/$B$78)</f>
        <v>0</v>
      </c>
      <c r="U17" s="226">
        <v>11</v>
      </c>
      <c r="V17" s="56"/>
      <c r="W17" s="109"/>
      <c r="X17" s="117">
        <f>Poor!X17</f>
        <v>1</v>
      </c>
      <c r="Y17" s="183">
        <f t="shared" si="9"/>
        <v>9.403266285543406E-2</v>
      </c>
      <c r="Z17" s="155">
        <f>Poor!Z17</f>
        <v>0.29409999999999997</v>
      </c>
      <c r="AA17" s="120">
        <f t="shared" si="16"/>
        <v>2.7655006145783156E-2</v>
      </c>
      <c r="AB17" s="155">
        <f>Poor!AB17</f>
        <v>0.17649999999999999</v>
      </c>
      <c r="AC17" s="120">
        <f t="shared" si="7"/>
        <v>1.659676499398411E-2</v>
      </c>
      <c r="AD17" s="155">
        <f>Poor!AD17</f>
        <v>0.23530000000000001</v>
      </c>
      <c r="AE17" s="120">
        <f t="shared" si="8"/>
        <v>2.2125885569883635E-2</v>
      </c>
      <c r="AF17" s="121">
        <f t="shared" si="10"/>
        <v>0.29410000000000003</v>
      </c>
      <c r="AG17" s="120">
        <f t="shared" si="11"/>
        <v>2.7655006145783159E-2</v>
      </c>
      <c r="AH17" s="122">
        <f t="shared" si="12"/>
        <v>1</v>
      </c>
      <c r="AI17" s="183">
        <f t="shared" si="13"/>
        <v>2.3508165713858515E-2</v>
      </c>
      <c r="AJ17" s="119">
        <f t="shared" si="14"/>
        <v>2.2125885569883631E-2</v>
      </c>
      <c r="AK17" s="118">
        <f t="shared" si="15"/>
        <v>2.4890445857833399E-2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0">
        <f>IF([1]Summ!$H1056="",0,[1]Summ!$H1056)</f>
        <v>0</v>
      </c>
      <c r="C18" s="101">
        <f>IF([1]Summ!$I1056="",0,[1]Summ!$I1056)</f>
        <v>0</v>
      </c>
      <c r="D18" s="24">
        <f t="shared" si="0"/>
        <v>0</v>
      </c>
      <c r="E18" s="75">
        <f>Poor!E18</f>
        <v>0.8</v>
      </c>
      <c r="F18" s="22"/>
      <c r="H18" s="24">
        <f t="shared" si="1"/>
        <v>0.8</v>
      </c>
      <c r="I18" s="22">
        <f t="shared" si="2"/>
        <v>0</v>
      </c>
      <c r="J18" s="24">
        <f t="shared" si="3"/>
        <v>0</v>
      </c>
      <c r="K18" s="22">
        <f t="shared" si="4"/>
        <v>0</v>
      </c>
      <c r="L18" s="22">
        <f t="shared" si="5"/>
        <v>0</v>
      </c>
      <c r="M18" s="227">
        <f t="shared" si="6"/>
        <v>0</v>
      </c>
      <c r="N18" s="232">
        <v>6</v>
      </c>
      <c r="O18" s="2"/>
      <c r="P18" s="22"/>
      <c r="Q18" s="59" t="s">
        <v>79</v>
      </c>
      <c r="R18" s="225">
        <f>IF($B$78=0,0,(SUMIF($N$6:$N$30,$U18,K$6:K$30)+SUMIF($N$88:$N$110,$U18,K$88:K$110))*$I$80*Poor!$B$78/$B$78)</f>
        <v>0</v>
      </c>
      <c r="S18" s="225">
        <f>IF($B$78=0,0,(SUMIF($N$6:$N$30,$U18,L$6:L$30)+SUMIF($N$88:$N$110,$U18,L$88:L$110))*$I$80*Poor!$B$78/$B$78)</f>
        <v>0</v>
      </c>
      <c r="T18" s="225">
        <f>IF($B$78=0,0,(SUMIF($N$6:$N$30,$U18,M$6:M$30)+SUMIF($N$88:$N$110,$U18,M$88:M$110))*$I$80*Poor!$B$78/$B$78)</f>
        <v>0</v>
      </c>
      <c r="U18" s="226">
        <v>12</v>
      </c>
      <c r="V18" s="56"/>
      <c r="W18" s="109"/>
      <c r="X18" s="117"/>
      <c r="Y18" s="183">
        <f t="shared" si="9"/>
        <v>0</v>
      </c>
      <c r="Z18" s="155">
        <f>Poor!Z18</f>
        <v>0.25</v>
      </c>
      <c r="AA18" s="120">
        <f t="shared" si="16"/>
        <v>0</v>
      </c>
      <c r="AB18" s="155">
        <f>Poor!AB18</f>
        <v>0.25</v>
      </c>
      <c r="AC18" s="120">
        <f t="shared" si="7"/>
        <v>0</v>
      </c>
      <c r="AD18" s="155">
        <f>Poor!AD18</f>
        <v>0.25</v>
      </c>
      <c r="AE18" s="120">
        <f t="shared" si="8"/>
        <v>0</v>
      </c>
      <c r="AF18" s="121">
        <f t="shared" si="10"/>
        <v>0.25</v>
      </c>
      <c r="AG18" s="120">
        <f t="shared" si="11"/>
        <v>0</v>
      </c>
      <c r="AH18" s="122">
        <f t="shared" si="12"/>
        <v>1</v>
      </c>
      <c r="AI18" s="183">
        <f t="shared" si="13"/>
        <v>0</v>
      </c>
      <c r="AJ18" s="119">
        <f t="shared" si="14"/>
        <v>0</v>
      </c>
      <c r="AK18" s="118">
        <f t="shared" si="15"/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0">
        <f>IF([1]Summ!$H1057="",0,[1]Summ!$H1057)</f>
        <v>0.10815217221135029</v>
      </c>
      <c r="C19" s="101">
        <f>IF([1]Summ!$I1057="",0,[1]Summ!$I1057)</f>
        <v>0</v>
      </c>
      <c r="D19" s="24">
        <f>(B19+C19)</f>
        <v>0.10815217221135029</v>
      </c>
      <c r="E19" s="75">
        <f>Poor!E19</f>
        <v>0.87</v>
      </c>
      <c r="F19" s="22"/>
      <c r="H19" s="24">
        <f t="shared" si="1"/>
        <v>0.87</v>
      </c>
      <c r="I19" s="22">
        <f t="shared" si="2"/>
        <v>9.4092389823874745E-2</v>
      </c>
      <c r="J19" s="24">
        <f t="shared" si="3"/>
        <v>9.4092389823874745E-2</v>
      </c>
      <c r="K19" s="22">
        <f t="shared" si="4"/>
        <v>0.10815217221135029</v>
      </c>
      <c r="L19" s="22">
        <f t="shared" si="5"/>
        <v>9.4092389823874745E-2</v>
      </c>
      <c r="M19" s="229">
        <f t="shared" si="6"/>
        <v>9.4092389823874745E-2</v>
      </c>
      <c r="N19" s="232">
        <v>7</v>
      </c>
      <c r="O19" s="2"/>
      <c r="P19" s="22"/>
      <c r="Q19" s="59" t="s">
        <v>80</v>
      </c>
      <c r="R19" s="225">
        <f>IF($B$78=0,0,(SUMIF($N$6:$N$30,$U19,K$6:K$30)+SUMIF($N$88:$N$110,$U19,K$88:K$110))*$I$80*Poor!$B$78/$B$78)</f>
        <v>71.678978446863013</v>
      </c>
      <c r="S19" s="225">
        <f>IF($B$78=0,0,(SUMIF($N$6:$N$30,$U19,L$6:L$30)+SUMIF($N$88:$N$110,$U19,L$88:L$110))*$I$80*Poor!$B$78/$B$78)</f>
        <v>71.678978446863013</v>
      </c>
      <c r="T19" s="225">
        <f>IF($B$78=0,0,(SUMIF($N$6:$N$30,$U19,M$6:M$30)+SUMIF($N$88:$N$110,$U19,M$88:M$110))*$I$80*Poor!$B$78/$B$78)</f>
        <v>71.678978446863013</v>
      </c>
      <c r="U19" s="226">
        <v>13</v>
      </c>
      <c r="V19" s="56"/>
      <c r="W19" s="109"/>
      <c r="X19" s="117"/>
      <c r="Y19" s="183">
        <f t="shared" si="9"/>
        <v>0.37636955929549898</v>
      </c>
      <c r="Z19" s="155">
        <f>Poor!Z19</f>
        <v>0.25</v>
      </c>
      <c r="AA19" s="120">
        <f t="shared" si="16"/>
        <v>9.4092389823874745E-2</v>
      </c>
      <c r="AB19" s="155">
        <f>Poor!AB19</f>
        <v>0.25</v>
      </c>
      <c r="AC19" s="120">
        <f t="shared" si="7"/>
        <v>9.4092389823874745E-2</v>
      </c>
      <c r="AD19" s="155">
        <f>Poor!AD19</f>
        <v>0.25</v>
      </c>
      <c r="AE19" s="120">
        <f t="shared" si="8"/>
        <v>9.4092389823874745E-2</v>
      </c>
      <c r="AF19" s="121">
        <f t="shared" si="10"/>
        <v>0.25</v>
      </c>
      <c r="AG19" s="120">
        <f t="shared" si="11"/>
        <v>9.4092389823874745E-2</v>
      </c>
      <c r="AH19" s="122">
        <f t="shared" si="12"/>
        <v>1</v>
      </c>
      <c r="AI19" s="183">
        <f t="shared" si="13"/>
        <v>9.4092389823874745E-2</v>
      </c>
      <c r="AJ19" s="119">
        <f t="shared" si="14"/>
        <v>9.4092389823874745E-2</v>
      </c>
      <c r="AK19" s="118">
        <f t="shared" si="15"/>
        <v>9.4092389823874745E-2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Labour: Harvesting</v>
      </c>
      <c r="B20" s="100">
        <f>IF([1]Summ!$H1058="",0,[1]Summ!$H1058)</f>
        <v>2.7038043052837572E-2</v>
      </c>
      <c r="C20" s="101">
        <f>IF([1]Summ!$I1058="",0,[1]Summ!$I1058)</f>
        <v>0</v>
      </c>
      <c r="D20" s="24">
        <f t="shared" ref="D20:D29" si="17">(B20+C20)</f>
        <v>2.7038043052837572E-2</v>
      </c>
      <c r="E20" s="75">
        <f>Poor!E20</f>
        <v>0.87</v>
      </c>
      <c r="F20" s="22"/>
      <c r="H20" s="24">
        <f t="shared" ref="H20:H29" si="18">(E20*F$7/F$9)</f>
        <v>0.87</v>
      </c>
      <c r="I20" s="22">
        <f t="shared" ref="I20:I29" si="19">(D20*H20)</f>
        <v>2.3523097455968686E-2</v>
      </c>
      <c r="J20" s="24">
        <f t="shared" si="3"/>
        <v>2.3523097455968686E-2</v>
      </c>
      <c r="K20" s="22">
        <f t="shared" ref="K20:K29" si="20">B20</f>
        <v>2.7038043052837572E-2</v>
      </c>
      <c r="L20" s="22">
        <f t="shared" ref="L20:L29" si="21">IF(K20="","",K20*H20)</f>
        <v>2.3523097455968686E-2</v>
      </c>
      <c r="M20" s="229">
        <f t="shared" ref="M20:M29" si="22">J20</f>
        <v>2.3523097455968686E-2</v>
      </c>
      <c r="N20" s="232">
        <v>7</v>
      </c>
      <c r="O20" s="2"/>
      <c r="P20" s="22"/>
      <c r="Q20" s="59" t="s">
        <v>81</v>
      </c>
      <c r="R20" s="225">
        <f>IF($B$78=0,0,(SUMIF($N$6:$N$30,$U20,K$6:K$30)+SUMIF($N$88:$N$110,$U20,K$88:K$110))*$I$80*Poor!$B$78/$B$78)</f>
        <v>8867.345454545457</v>
      </c>
      <c r="S20" s="225">
        <f>IF($B$78=0,0,(SUMIF($N$6:$N$30,$U20,L$6:L$30)+SUMIF($N$88:$N$110,$U20,L$88:L$110))*$I$80*Poor!$B$78/$B$78)</f>
        <v>8788.1727272727312</v>
      </c>
      <c r="T20" s="225">
        <f>IF($B$78=0,0,(SUMIF($N$6:$N$30,$U20,M$6:M$30)+SUMIF($N$88:$N$110,$U20,M$88:M$110))*$I$80*Poor!$B$78/$B$78)</f>
        <v>8788.1727272727312</v>
      </c>
      <c r="U20" s="226">
        <v>14</v>
      </c>
      <c r="V20" s="56"/>
      <c r="W20" s="109"/>
      <c r="X20" s="117"/>
      <c r="Y20" s="183">
        <f t="shared" ref="Y20:Y29" si="23">M20*4</f>
        <v>9.4092389823874745E-2</v>
      </c>
      <c r="Z20" s="155">
        <f>Poor!Z20</f>
        <v>1.25</v>
      </c>
      <c r="AA20" s="120">
        <f t="shared" ref="AA20:AA29" si="24">$M20*Z20*4</f>
        <v>0.11761548727984343</v>
      </c>
      <c r="AB20" s="155">
        <f>Poor!AB20</f>
        <v>1.25</v>
      </c>
      <c r="AC20" s="120">
        <f t="shared" ref="AC20:AC29" si="25">$M20*AB20*4</f>
        <v>0.11761548727984343</v>
      </c>
      <c r="AD20" s="155">
        <f>Poor!AD20</f>
        <v>1.25</v>
      </c>
      <c r="AE20" s="120">
        <f t="shared" ref="AE20:AE29" si="26">$M20*AD20*4</f>
        <v>0.11761548727984343</v>
      </c>
      <c r="AF20" s="121">
        <f t="shared" ref="AF20:AF29" si="27">1-SUM(Z20,AB20,AD20)</f>
        <v>-2.75</v>
      </c>
      <c r="AG20" s="120">
        <f t="shared" ref="AG20:AG29" si="28">$M20*AF20*4</f>
        <v>-0.25875407201565553</v>
      </c>
      <c r="AH20" s="122">
        <f t="shared" ref="AH20:AH29" si="29">SUM(Z20,AB20,AD20,AF20)</f>
        <v>1</v>
      </c>
      <c r="AI20" s="183">
        <f t="shared" ref="AI20:AI29" si="30">SUM(AA20,AC20,AE20,AG20)/4</f>
        <v>2.3523097455968686E-2</v>
      </c>
      <c r="AJ20" s="119">
        <f t="shared" ref="AJ20:AJ29" si="31">(AA20+AC20)/2</f>
        <v>0.11761548727984343</v>
      </c>
      <c r="AK20" s="118">
        <f t="shared" ref="AK20:AK29" si="32">(AE20+AG20)/2</f>
        <v>-7.0569292367906045E-2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Gifts/remittances: cereal</v>
      </c>
      <c r="B21" s="100">
        <f>IF([1]Summ!$H1059="",0,[1]Summ!$H1059)</f>
        <v>1.0785269524995554E-2</v>
      </c>
      <c r="C21" s="101">
        <f>IF([1]Summ!$I1059="",0,[1]Summ!$I1059)</f>
        <v>0</v>
      </c>
      <c r="D21" s="24">
        <f t="shared" si="17"/>
        <v>1.0785269524995554E-2</v>
      </c>
      <c r="E21" s="75">
        <f>Poor!E21</f>
        <v>1</v>
      </c>
      <c r="F21" s="22"/>
      <c r="H21" s="24">
        <f t="shared" si="18"/>
        <v>1</v>
      </c>
      <c r="I21" s="22">
        <f t="shared" si="19"/>
        <v>1.0785269524995554E-2</v>
      </c>
      <c r="J21" s="24">
        <f t="shared" si="3"/>
        <v>1.0785269524995554E-2</v>
      </c>
      <c r="K21" s="22">
        <f t="shared" si="20"/>
        <v>1.0785269524995554E-2</v>
      </c>
      <c r="L21" s="22">
        <f t="shared" si="21"/>
        <v>1.0785269524995554E-2</v>
      </c>
      <c r="M21" s="229">
        <f t="shared" si="22"/>
        <v>1.0785269524995554E-2</v>
      </c>
      <c r="N21" s="232">
        <v>13</v>
      </c>
      <c r="O21" s="2"/>
      <c r="P21" s="22"/>
      <c r="Q21" s="59" t="s">
        <v>82</v>
      </c>
      <c r="R21" s="225">
        <f>IF($B$78=0,0,(SUMIF($N$6:$N$30,$U21,K$6:K$30)+SUMIF($N$88:$N$110,$U21,K$88:K$110))*$I$80*Poor!$B$78/$B$78)</f>
        <v>1344</v>
      </c>
      <c r="S21" s="225">
        <f>IF($B$78=0,0,(SUMIF($N$6:$N$30,$U21,L$6:L$30)+SUMIF($N$88:$N$110,$U21,L$88:L$110))*$I$80*Poor!$B$78/$B$78)</f>
        <v>1260</v>
      </c>
      <c r="T21" s="225">
        <f>IF($B$78=0,0,(SUMIF($N$6:$N$30,$U21,M$6:M$30)+SUMIF($N$88:$N$110,$U21,M$88:M$110))*$I$80*Poor!$B$78/$B$78)</f>
        <v>1260</v>
      </c>
      <c r="U21" s="226">
        <v>15</v>
      </c>
      <c r="V21" s="56"/>
      <c r="W21" s="109"/>
      <c r="X21" s="117"/>
      <c r="Y21" s="183">
        <f t="shared" si="23"/>
        <v>4.3141078099982216E-2</v>
      </c>
      <c r="Z21" s="155">
        <f>Poor!Z21</f>
        <v>2.25</v>
      </c>
      <c r="AA21" s="120">
        <f t="shared" si="24"/>
        <v>9.7067425724959994E-2</v>
      </c>
      <c r="AB21" s="155">
        <f>Poor!AB21</f>
        <v>2.25</v>
      </c>
      <c r="AC21" s="120">
        <f t="shared" si="25"/>
        <v>9.7067425724959994E-2</v>
      </c>
      <c r="AD21" s="155">
        <f>Poor!AD21</f>
        <v>2.25</v>
      </c>
      <c r="AE21" s="120">
        <f t="shared" si="26"/>
        <v>9.7067425724959994E-2</v>
      </c>
      <c r="AF21" s="121">
        <f t="shared" si="27"/>
        <v>-5.75</v>
      </c>
      <c r="AG21" s="120">
        <f t="shared" si="28"/>
        <v>-0.24806119907489774</v>
      </c>
      <c r="AH21" s="122">
        <f t="shared" si="29"/>
        <v>1</v>
      </c>
      <c r="AI21" s="183">
        <f t="shared" si="30"/>
        <v>1.0785269524995568E-2</v>
      </c>
      <c r="AJ21" s="119">
        <f t="shared" si="31"/>
        <v>9.7067425724959994E-2</v>
      </c>
      <c r="AK21" s="118">
        <f t="shared" si="32"/>
        <v>-7.5496886674968872E-2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0">
        <f>IF([1]Summ!$H1060="",0,[1]Summ!$H1060)</f>
        <v>0</v>
      </c>
      <c r="C22" s="101">
        <f>IF([1]Summ!$I1060="",0,[1]Summ!$I1060)</f>
        <v>0</v>
      </c>
      <c r="D22" s="24">
        <f t="shared" si="17"/>
        <v>0</v>
      </c>
      <c r="E22" s="75">
        <f>Poor!E22</f>
        <v>1</v>
      </c>
      <c r="F22" s="22"/>
      <c r="H22" s="24">
        <f t="shared" si="18"/>
        <v>1</v>
      </c>
      <c r="I22" s="22">
        <f t="shared" si="19"/>
        <v>0</v>
      </c>
      <c r="J22" s="24">
        <f t="shared" si="3"/>
        <v>0</v>
      </c>
      <c r="K22" s="22">
        <f t="shared" si="20"/>
        <v>0</v>
      </c>
      <c r="L22" s="22">
        <f t="shared" si="21"/>
        <v>0</v>
      </c>
      <c r="M22" s="229">
        <f t="shared" si="22"/>
        <v>0</v>
      </c>
      <c r="N22" s="232"/>
      <c r="O22" s="2"/>
      <c r="P22" s="22"/>
      <c r="Q22" s="59" t="s">
        <v>83</v>
      </c>
      <c r="R22" s="225">
        <f>IF($B$78=0,0,(SUMIF($N$6:$N$30,$U22,K$6:K$30)+SUMIF($N$88:$N$110,$U22,K$88:K$110))*$I$80*Poor!$B$78/$B$78)</f>
        <v>0</v>
      </c>
      <c r="S22" s="225">
        <f>IF($B$78=0,0,(SUMIF($N$6:$N$30,$U22,L$6:L$30)+SUMIF($N$88:$N$110,$U22,L$88:L$110))*$I$80*Poor!$B$78/$B$78)</f>
        <v>0</v>
      </c>
      <c r="T22" s="225">
        <f>IF($B$78=0,0,(SUMIF($N$6:$N$30,$U22,M$6:M$30)+SUMIF($N$88:$N$110,$U22,M$88:M$110))*$I$80*Poor!$B$78/$B$78)</f>
        <v>0</v>
      </c>
      <c r="U22" s="226">
        <v>16</v>
      </c>
      <c r="V22" s="56"/>
      <c r="W22" s="109"/>
      <c r="X22" s="117"/>
      <c r="Y22" s="183">
        <f t="shared" si="23"/>
        <v>0</v>
      </c>
      <c r="Z22" s="155">
        <f>Poor!Z22</f>
        <v>3.25</v>
      </c>
      <c r="AA22" s="120">
        <f t="shared" si="24"/>
        <v>0</v>
      </c>
      <c r="AB22" s="155">
        <f>Poor!AB22</f>
        <v>3.25</v>
      </c>
      <c r="AC22" s="120">
        <f t="shared" si="25"/>
        <v>0</v>
      </c>
      <c r="AD22" s="155">
        <f>Poor!AD22</f>
        <v>3.25</v>
      </c>
      <c r="AE22" s="120">
        <f t="shared" si="26"/>
        <v>0</v>
      </c>
      <c r="AF22" s="121">
        <f t="shared" si="27"/>
        <v>-8.75</v>
      </c>
      <c r="AG22" s="120">
        <f t="shared" si="28"/>
        <v>0</v>
      </c>
      <c r="AH22" s="122">
        <f t="shared" si="29"/>
        <v>1</v>
      </c>
      <c r="AI22" s="183">
        <f t="shared" si="30"/>
        <v>0</v>
      </c>
      <c r="AJ22" s="119">
        <f t="shared" si="31"/>
        <v>0</v>
      </c>
      <c r="AK22" s="118">
        <f t="shared" si="32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0">
        <f>IF([1]Summ!$H1061="",0,[1]Summ!$H1061)</f>
        <v>0</v>
      </c>
      <c r="C23" s="101">
        <f>IF([1]Summ!$I1061="",0,[1]Summ!$I1061)</f>
        <v>0</v>
      </c>
      <c r="D23" s="24">
        <f t="shared" si="17"/>
        <v>0</v>
      </c>
      <c r="E23" s="75">
        <f>Poor!E23</f>
        <v>1</v>
      </c>
      <c r="F23" s="22"/>
      <c r="H23" s="24">
        <f t="shared" si="18"/>
        <v>1</v>
      </c>
      <c r="I23" s="22">
        <f t="shared" si="19"/>
        <v>0</v>
      </c>
      <c r="J23" s="24">
        <f t="shared" si="3"/>
        <v>0</v>
      </c>
      <c r="K23" s="22">
        <f t="shared" si="20"/>
        <v>0</v>
      </c>
      <c r="L23" s="22">
        <f t="shared" si="21"/>
        <v>0</v>
      </c>
      <c r="M23" s="229">
        <f t="shared" si="22"/>
        <v>0</v>
      </c>
      <c r="N23" s="232"/>
      <c r="O23" s="2"/>
      <c r="P23" s="22"/>
      <c r="Q23" s="170" t="s">
        <v>100</v>
      </c>
      <c r="R23" s="178">
        <f>SUM(R7:R22)</f>
        <v>112734.24402669565</v>
      </c>
      <c r="S23" s="178">
        <f>SUM(S7:S22)</f>
        <v>108179.71953146713</v>
      </c>
      <c r="T23" s="178">
        <f>SUM(T7:T22)</f>
        <v>108069.02048237104</v>
      </c>
      <c r="U23" s="56"/>
      <c r="V23" s="56"/>
      <c r="W23" s="109"/>
      <c r="X23" s="117"/>
      <c r="Y23" s="183">
        <f t="shared" si="23"/>
        <v>0</v>
      </c>
      <c r="Z23" s="155">
        <f>Poor!Z23</f>
        <v>4.25</v>
      </c>
      <c r="AA23" s="120">
        <f t="shared" si="24"/>
        <v>0</v>
      </c>
      <c r="AB23" s="155">
        <f>Poor!AB23</f>
        <v>4.25</v>
      </c>
      <c r="AC23" s="120">
        <f t="shared" si="25"/>
        <v>0</v>
      </c>
      <c r="AD23" s="155">
        <f>Poor!AD23</f>
        <v>4.25</v>
      </c>
      <c r="AE23" s="120">
        <f t="shared" si="26"/>
        <v>0</v>
      </c>
      <c r="AF23" s="121">
        <f t="shared" si="27"/>
        <v>-11.75</v>
      </c>
      <c r="AG23" s="120">
        <f t="shared" si="28"/>
        <v>0</v>
      </c>
      <c r="AH23" s="122">
        <f t="shared" si="29"/>
        <v>1</v>
      </c>
      <c r="AI23" s="183">
        <f t="shared" si="30"/>
        <v>0</v>
      </c>
      <c r="AJ23" s="119">
        <f t="shared" si="31"/>
        <v>0</v>
      </c>
      <c r="AK23" s="118">
        <f t="shared" si="32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0">
        <f>IF([1]Summ!$H1062="",0,[1]Summ!$H1062)</f>
        <v>0</v>
      </c>
      <c r="C24" s="101">
        <f>IF([1]Summ!$I1062="",0,[1]Summ!$I1062)</f>
        <v>0</v>
      </c>
      <c r="D24" s="24">
        <f t="shared" si="17"/>
        <v>0</v>
      </c>
      <c r="E24" s="75">
        <f>Poor!E24</f>
        <v>1</v>
      </c>
      <c r="F24" s="22"/>
      <c r="H24" s="24">
        <f t="shared" si="18"/>
        <v>1</v>
      </c>
      <c r="I24" s="22">
        <f t="shared" si="19"/>
        <v>0</v>
      </c>
      <c r="J24" s="24">
        <f t="shared" si="3"/>
        <v>0</v>
      </c>
      <c r="K24" s="22">
        <f t="shared" si="20"/>
        <v>0</v>
      </c>
      <c r="L24" s="22">
        <f t="shared" si="21"/>
        <v>0</v>
      </c>
      <c r="M24" s="229">
        <f t="shared" si="22"/>
        <v>0</v>
      </c>
      <c r="N24" s="232"/>
      <c r="O24" s="2"/>
      <c r="P24" s="22"/>
      <c r="Q24" s="59" t="s">
        <v>136</v>
      </c>
      <c r="R24" s="41">
        <f>IF($B$78=0,0,($B$116*$H$116)+1-($D$31*$H$31)-($D$30*$H$30))*$I$80*Poor!$B$78/$B$78</f>
        <v>29946.919494373287</v>
      </c>
      <c r="S24" s="41">
        <f>IF($B$78=0,0,($B$116*($H$116)+1-($D$31*$H$31)-($D$30*$H$30))*$I$80*Poor!$B$78/$B$78)</f>
        <v>29946.919494373287</v>
      </c>
      <c r="T24" s="41">
        <f>IF($B$78=0,0,($B$116*($H$116)+1-($D$31*$H$31)-($D$30*$H$30))*$I$80*Poor!$B$78/$B$78)</f>
        <v>29946.919494373287</v>
      </c>
      <c r="U24" s="56"/>
      <c r="V24" s="56"/>
      <c r="W24" s="109"/>
      <c r="X24" s="117"/>
      <c r="Y24" s="183">
        <f t="shared" si="23"/>
        <v>0</v>
      </c>
      <c r="Z24" s="155">
        <f>Poor!Z24</f>
        <v>5.25</v>
      </c>
      <c r="AA24" s="120">
        <f t="shared" si="24"/>
        <v>0</v>
      </c>
      <c r="AB24" s="155">
        <f>Poor!AB24</f>
        <v>5.25</v>
      </c>
      <c r="AC24" s="120">
        <f t="shared" si="25"/>
        <v>0</v>
      </c>
      <c r="AD24" s="155">
        <f>Poor!AD24</f>
        <v>5.25</v>
      </c>
      <c r="AE24" s="120">
        <f t="shared" si="26"/>
        <v>0</v>
      </c>
      <c r="AF24" s="121">
        <f t="shared" si="27"/>
        <v>-14.75</v>
      </c>
      <c r="AG24" s="120">
        <f t="shared" si="28"/>
        <v>0</v>
      </c>
      <c r="AH24" s="122">
        <f t="shared" si="29"/>
        <v>1</v>
      </c>
      <c r="AI24" s="183">
        <f t="shared" si="30"/>
        <v>0</v>
      </c>
      <c r="AJ24" s="119">
        <f t="shared" si="31"/>
        <v>0</v>
      </c>
      <c r="AK24" s="118">
        <f t="shared" si="32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0">
        <f>IF([1]Summ!$H1063="",0,[1]Summ!$H1063)</f>
        <v>0</v>
      </c>
      <c r="C25" s="101">
        <f>IF([1]Summ!$I1063="",0,[1]Summ!$I1063)</f>
        <v>0</v>
      </c>
      <c r="D25" s="24">
        <f t="shared" si="17"/>
        <v>0</v>
      </c>
      <c r="E25" s="75">
        <f>Poor!E25</f>
        <v>1</v>
      </c>
      <c r="F25" s="22"/>
      <c r="H25" s="24">
        <f t="shared" si="18"/>
        <v>1</v>
      </c>
      <c r="I25" s="22">
        <f t="shared" si="19"/>
        <v>0</v>
      </c>
      <c r="J25" s="24">
        <f t="shared" si="3"/>
        <v>0</v>
      </c>
      <c r="K25" s="22">
        <f t="shared" si="20"/>
        <v>0</v>
      </c>
      <c r="L25" s="22">
        <f t="shared" si="21"/>
        <v>0</v>
      </c>
      <c r="M25" s="229">
        <f t="shared" si="22"/>
        <v>0</v>
      </c>
      <c r="N25" s="232"/>
      <c r="O25" s="2"/>
      <c r="P25" s="22"/>
      <c r="Q25" s="141" t="s">
        <v>137</v>
      </c>
      <c r="R25" s="41">
        <f>IF($B$78=0,0,($B$67+$B$68+((1-$D$31)*$B$80))*$H$81*Poor!$B$78/$B$78)</f>
        <v>47026.26053826612</v>
      </c>
      <c r="S25" s="41">
        <f>IF($B$78=0,0,(($B$67*$H$67)+($B$68*$H$68)+((1-($D$31*$H$31))*$I$80))*Poor!$B$78/$B$78)</f>
        <v>46631.699494373293</v>
      </c>
      <c r="T25" s="41">
        <f>IF($B$78=0,0,(($B$67*$H$67)+($B$68*$H$68)+((1-($D$31*$H$31))*$I$80))*Poor!$B$78/$B$78)</f>
        <v>46631.699494373293</v>
      </c>
      <c r="U25" s="56"/>
      <c r="V25" s="56"/>
      <c r="W25" s="109"/>
      <c r="X25" s="117"/>
      <c r="Y25" s="183">
        <f t="shared" si="23"/>
        <v>0</v>
      </c>
      <c r="Z25" s="155">
        <f>Poor!Z25</f>
        <v>6.25</v>
      </c>
      <c r="AA25" s="120">
        <f t="shared" si="24"/>
        <v>0</v>
      </c>
      <c r="AB25" s="155">
        <f>Poor!AB25</f>
        <v>6.25</v>
      </c>
      <c r="AC25" s="120">
        <f t="shared" si="25"/>
        <v>0</v>
      </c>
      <c r="AD25" s="155">
        <f>Poor!AD25</f>
        <v>6.25</v>
      </c>
      <c r="AE25" s="120">
        <f t="shared" si="26"/>
        <v>0</v>
      </c>
      <c r="AF25" s="121">
        <f t="shared" si="27"/>
        <v>-17.75</v>
      </c>
      <c r="AG25" s="120">
        <f t="shared" si="28"/>
        <v>0</v>
      </c>
      <c r="AH25" s="122">
        <f t="shared" si="29"/>
        <v>1</v>
      </c>
      <c r="AI25" s="183">
        <f t="shared" si="30"/>
        <v>0</v>
      </c>
      <c r="AJ25" s="119">
        <f t="shared" si="31"/>
        <v>0</v>
      </c>
      <c r="AK25" s="118">
        <f t="shared" si="32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/>
      </c>
      <c r="B26" s="100">
        <f>IF([1]Summ!$H1064="",0,[1]Summ!$H1064)</f>
        <v>0</v>
      </c>
      <c r="C26" s="101">
        <f>IF([1]Summ!$I1064="",0,[1]Summ!$I1064)</f>
        <v>0</v>
      </c>
      <c r="D26" s="24">
        <f t="shared" si="17"/>
        <v>0</v>
      </c>
      <c r="E26" s="75">
        <f>Poor!E26</f>
        <v>1</v>
      </c>
      <c r="F26" s="22"/>
      <c r="H26" s="24">
        <f t="shared" si="18"/>
        <v>1</v>
      </c>
      <c r="I26" s="22">
        <f t="shared" si="19"/>
        <v>0</v>
      </c>
      <c r="J26" s="24">
        <f t="shared" si="3"/>
        <v>0</v>
      </c>
      <c r="K26" s="22">
        <f t="shared" si="20"/>
        <v>0</v>
      </c>
      <c r="L26" s="22">
        <f t="shared" si="21"/>
        <v>0</v>
      </c>
      <c r="M26" s="229">
        <f t="shared" si="22"/>
        <v>0</v>
      </c>
      <c r="N26" s="232"/>
      <c r="O26" s="2"/>
      <c r="P26" s="22"/>
      <c r="Q26" s="59" t="s">
        <v>138</v>
      </c>
      <c r="R26" s="41">
        <f>IF($B$78=0,0,($B$67+$B$68+$B$69+((1-$D$31)*$B$80))*$H$81*Poor!$B$78/$B$78)</f>
        <v>74609.847036350708</v>
      </c>
      <c r="S26" s="41">
        <f>IF($B$78=0,0,(($B$67*$H$67)+($B$68*$H$68)+($B$69*$H$69)+((1-($D$31*$H$31))*$I$80))*Poor!$B$78/$B$78)</f>
        <v>73578.059494373301</v>
      </c>
      <c r="T26" s="41">
        <f>IF($B$78=0,0,(($B$67*$H$67)+($B$68*$H$68)+($B$69*$H$69)+((1-($D$31*$H$31))*$I$80))*Poor!$B$78/$B$78)</f>
        <v>73578.059494373301</v>
      </c>
      <c r="U26" s="56"/>
      <c r="V26" s="56"/>
      <c r="W26" s="109"/>
      <c r="X26" s="117"/>
      <c r="Y26" s="183">
        <f t="shared" si="23"/>
        <v>0</v>
      </c>
      <c r="Z26" s="155">
        <f>Poor!Z26</f>
        <v>7.25</v>
      </c>
      <c r="AA26" s="120">
        <f t="shared" si="24"/>
        <v>0</v>
      </c>
      <c r="AB26" s="155">
        <f>Poor!AB26</f>
        <v>7.25</v>
      </c>
      <c r="AC26" s="120">
        <f t="shared" si="25"/>
        <v>0</v>
      </c>
      <c r="AD26" s="155">
        <f>Poor!AD26</f>
        <v>7.25</v>
      </c>
      <c r="AE26" s="120">
        <f t="shared" si="26"/>
        <v>0</v>
      </c>
      <c r="AF26" s="121">
        <f t="shared" si="27"/>
        <v>-20.75</v>
      </c>
      <c r="AG26" s="120">
        <f t="shared" si="28"/>
        <v>0</v>
      </c>
      <c r="AH26" s="122">
        <f t="shared" si="29"/>
        <v>1</v>
      </c>
      <c r="AI26" s="183">
        <f t="shared" si="30"/>
        <v>0</v>
      </c>
      <c r="AJ26" s="119">
        <f t="shared" si="31"/>
        <v>0</v>
      </c>
      <c r="AK26" s="118">
        <f t="shared" si="32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/>
      </c>
      <c r="B27" s="100">
        <f>IF([1]Summ!$H1065="",0,[1]Summ!$H1065)</f>
        <v>0</v>
      </c>
      <c r="C27" s="101">
        <f>IF([1]Summ!$I1065="",0,[1]Summ!$I1065)</f>
        <v>0</v>
      </c>
      <c r="D27" s="24">
        <f t="shared" si="17"/>
        <v>0</v>
      </c>
      <c r="E27" s="75">
        <f>Poor!E27</f>
        <v>1</v>
      </c>
      <c r="F27" s="22"/>
      <c r="H27" s="24">
        <f t="shared" si="18"/>
        <v>1</v>
      </c>
      <c r="I27" s="22">
        <f t="shared" si="19"/>
        <v>0</v>
      </c>
      <c r="J27" s="24">
        <f t="shared" si="3"/>
        <v>0</v>
      </c>
      <c r="K27" s="22">
        <f t="shared" si="20"/>
        <v>0</v>
      </c>
      <c r="L27" s="22">
        <f t="shared" si="21"/>
        <v>0</v>
      </c>
      <c r="M27" s="229">
        <f t="shared" si="22"/>
        <v>0</v>
      </c>
      <c r="N27" s="232"/>
      <c r="O27" s="2"/>
      <c r="P27" s="22"/>
      <c r="Q27" s="125" t="s">
        <v>139</v>
      </c>
      <c r="R27" s="41">
        <f>IF($B$78=0,0,($B$67+$B$68+$B$69+$B$70+(1-$D$31-$D$30)*$B$80)*$H$81*Poor!$B$78/$B$78)</f>
        <v>120366.60384463322</v>
      </c>
      <c r="S27" s="41">
        <f>IF($B$78=0,0,(($B$67*$H$67)+($B$68*$H$68)+($B$69*$H$69)+($B$70*$H$70)+((1-($D$30*$H$30)-($D$31*$H$31))*$I$80))*Poor!$B$78/$B$78)</f>
        <v>118277.75949437331</v>
      </c>
      <c r="T27" s="41">
        <f>IF($B$78=0,0,(($B$67*$H$67)+($B$68*$H$68)+($B$69*$H$69)+($B$70*$H$70)+((1-($D$30*$H$30)-($D$31*$H$31))*$I$80))*Poor!$B$78/$B$78)</f>
        <v>118277.75949437331</v>
      </c>
      <c r="U27" s="56"/>
      <c r="V27" s="56"/>
      <c r="W27" s="109"/>
      <c r="X27" s="117"/>
      <c r="Y27" s="183">
        <f t="shared" si="23"/>
        <v>0</v>
      </c>
      <c r="Z27" s="155">
        <f>Poor!Z27</f>
        <v>8.25</v>
      </c>
      <c r="AA27" s="120">
        <f t="shared" si="24"/>
        <v>0</v>
      </c>
      <c r="AB27" s="155">
        <f>Poor!AB27</f>
        <v>8.25</v>
      </c>
      <c r="AC27" s="120">
        <f t="shared" si="25"/>
        <v>0</v>
      </c>
      <c r="AD27" s="155">
        <f>Poor!AD27</f>
        <v>8.25</v>
      </c>
      <c r="AE27" s="120">
        <f t="shared" si="26"/>
        <v>0</v>
      </c>
      <c r="AF27" s="121">
        <f t="shared" si="27"/>
        <v>-23.75</v>
      </c>
      <c r="AG27" s="120">
        <f t="shared" si="28"/>
        <v>0</v>
      </c>
      <c r="AH27" s="122">
        <f t="shared" si="29"/>
        <v>1</v>
      </c>
      <c r="AI27" s="183">
        <f t="shared" si="30"/>
        <v>0</v>
      </c>
      <c r="AJ27" s="119">
        <f t="shared" si="31"/>
        <v>0</v>
      </c>
      <c r="AK27" s="118">
        <f t="shared" si="32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Food aid</v>
      </c>
      <c r="B28" s="100">
        <f>IF([1]Summ!$H1066="",0,[1]Summ!$H1066)</f>
        <v>0</v>
      </c>
      <c r="C28" s="101">
        <f>IF([1]Summ!$I1066="",0,[1]Summ!$I1066)</f>
        <v>0</v>
      </c>
      <c r="D28" s="24">
        <f t="shared" si="17"/>
        <v>0</v>
      </c>
      <c r="E28" s="75">
        <f>Poor!E28</f>
        <v>1</v>
      </c>
      <c r="F28" s="22"/>
      <c r="H28" s="24">
        <f t="shared" si="18"/>
        <v>1</v>
      </c>
      <c r="I28" s="22">
        <f t="shared" si="19"/>
        <v>0</v>
      </c>
      <c r="J28" s="24">
        <f t="shared" si="3"/>
        <v>0</v>
      </c>
      <c r="K28" s="22">
        <f t="shared" si="20"/>
        <v>0</v>
      </c>
      <c r="L28" s="22">
        <f t="shared" si="21"/>
        <v>0</v>
      </c>
      <c r="M28" s="229">
        <f t="shared" si="22"/>
        <v>0</v>
      </c>
      <c r="N28" s="232"/>
      <c r="O28" s="2"/>
      <c r="P28" s="22"/>
      <c r="Q28" s="59"/>
      <c r="R28" s="179"/>
      <c r="S28" s="179"/>
      <c r="T28" s="179"/>
      <c r="U28" s="56"/>
      <c r="V28" s="56"/>
      <c r="W28" s="109"/>
      <c r="X28" s="117"/>
      <c r="Y28" s="183">
        <f t="shared" si="23"/>
        <v>0</v>
      </c>
      <c r="Z28" s="155">
        <f>Poor!Z28</f>
        <v>9.25</v>
      </c>
      <c r="AA28" s="120">
        <f t="shared" si="24"/>
        <v>0</v>
      </c>
      <c r="AB28" s="155">
        <f>Poor!AB28</f>
        <v>9.25</v>
      </c>
      <c r="AC28" s="120">
        <f t="shared" si="25"/>
        <v>0</v>
      </c>
      <c r="AD28" s="155">
        <f>Poor!AD28</f>
        <v>9.25</v>
      </c>
      <c r="AE28" s="120">
        <f t="shared" si="26"/>
        <v>0</v>
      </c>
      <c r="AF28" s="121">
        <f t="shared" si="27"/>
        <v>-26.75</v>
      </c>
      <c r="AG28" s="120">
        <f t="shared" si="28"/>
        <v>0</v>
      </c>
      <c r="AH28" s="122">
        <f t="shared" si="29"/>
        <v>1</v>
      </c>
      <c r="AI28" s="183">
        <f t="shared" si="30"/>
        <v>0</v>
      </c>
      <c r="AJ28" s="119">
        <f t="shared" si="31"/>
        <v>0</v>
      </c>
      <c r="AK28" s="118">
        <f t="shared" si="32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other</v>
      </c>
      <c r="B29" s="100">
        <f>IF([1]Summ!$H1067="",0,[1]Summ!$H1067)</f>
        <v>4.3967135385162788E-2</v>
      </c>
      <c r="C29" s="101">
        <f>IF([1]Summ!$I1067="",0,[1]Summ!$I1067)</f>
        <v>-4.3967135385162788E-2</v>
      </c>
      <c r="D29" s="24">
        <f t="shared" si="17"/>
        <v>0</v>
      </c>
      <c r="E29" s="75">
        <f>Poor!E29</f>
        <v>1</v>
      </c>
      <c r="F29" s="22"/>
      <c r="H29" s="24">
        <f t="shared" si="18"/>
        <v>1</v>
      </c>
      <c r="I29" s="22">
        <f t="shared" si="19"/>
        <v>0</v>
      </c>
      <c r="J29" s="24">
        <f t="shared" si="3"/>
        <v>4.6524792765748356E-2</v>
      </c>
      <c r="K29" s="22">
        <f t="shared" si="20"/>
        <v>4.3967135385162788E-2</v>
      </c>
      <c r="L29" s="22">
        <f t="shared" si="21"/>
        <v>4.3967135385162788E-2</v>
      </c>
      <c r="M29" s="229">
        <f t="shared" si="22"/>
        <v>4.6524792765748356E-2</v>
      </c>
      <c r="N29" s="232"/>
      <c r="O29" s="2"/>
      <c r="P29" s="22"/>
      <c r="Q29" s="2"/>
      <c r="R29" s="179"/>
      <c r="S29" s="179"/>
      <c r="T29" s="179"/>
      <c r="U29" s="56"/>
      <c r="V29" s="56"/>
      <c r="W29" s="109"/>
      <c r="X29" s="117"/>
      <c r="Y29" s="183">
        <f t="shared" si="23"/>
        <v>0.18609917106299342</v>
      </c>
      <c r="Z29" s="155">
        <f>Poor!Z29</f>
        <v>10.25</v>
      </c>
      <c r="AA29" s="120">
        <f t="shared" si="24"/>
        <v>1.9075165033956827</v>
      </c>
      <c r="AB29" s="155">
        <f>Poor!AB29</f>
        <v>10.25</v>
      </c>
      <c r="AC29" s="120">
        <f t="shared" si="25"/>
        <v>1.9075165033956827</v>
      </c>
      <c r="AD29" s="155">
        <f>Poor!AD29</f>
        <v>10.25</v>
      </c>
      <c r="AE29" s="120">
        <f t="shared" si="26"/>
        <v>1.9075165033956827</v>
      </c>
      <c r="AF29" s="121">
        <f t="shared" si="27"/>
        <v>-29.75</v>
      </c>
      <c r="AG29" s="120">
        <f t="shared" si="28"/>
        <v>-5.5364503391240545</v>
      </c>
      <c r="AH29" s="122">
        <f t="shared" si="29"/>
        <v>1</v>
      </c>
      <c r="AI29" s="183">
        <f t="shared" si="30"/>
        <v>4.6524792765748391E-2</v>
      </c>
      <c r="AJ29" s="119">
        <f t="shared" si="31"/>
        <v>1.9075165033956827</v>
      </c>
      <c r="AK29" s="118">
        <f t="shared" si="32"/>
        <v>-1.8144669178641859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>
      <c r="A30" s="74" t="str">
        <f>IF(Poor!A30=0,"",Poor!A30)</f>
        <v>Purchase - desirable</v>
      </c>
      <c r="B30" s="100">
        <f>IF([1]Summ!$H1068="",0,[1]Summ!$H1068)</f>
        <v>0</v>
      </c>
      <c r="C30" s="101">
        <f>IF([1]Summ!$I1068="",0,[1]Summ!$I1068)</f>
        <v>0</v>
      </c>
      <c r="D30" s="24">
        <f t="shared" si="0"/>
        <v>0</v>
      </c>
      <c r="E30" s="75">
        <f>Poor!E30</f>
        <v>1</v>
      </c>
      <c r="F30" s="22"/>
      <c r="H30" s="24">
        <f t="shared" si="1"/>
        <v>1</v>
      </c>
      <c r="I30" s="22">
        <f t="shared" si="2"/>
        <v>0</v>
      </c>
      <c r="J30" s="24">
        <f t="shared" si="3"/>
        <v>0</v>
      </c>
      <c r="K30" s="22">
        <f t="shared" si="4"/>
        <v>0</v>
      </c>
      <c r="L30" s="22">
        <f t="shared" si="5"/>
        <v>0</v>
      </c>
      <c r="M30" s="227">
        <f t="shared" si="6"/>
        <v>0</v>
      </c>
      <c r="N30" s="232">
        <v>12</v>
      </c>
      <c r="O30" s="2"/>
      <c r="P30" s="22"/>
      <c r="Q30" s="59"/>
      <c r="R30" s="179"/>
      <c r="S30" s="179"/>
      <c r="T30" s="179"/>
      <c r="U30" s="56"/>
      <c r="V30" s="56"/>
      <c r="W30" s="109"/>
      <c r="X30" s="117"/>
      <c r="Y30" s="183">
        <f t="shared" si="9"/>
        <v>0</v>
      </c>
      <c r="Z30" s="155">
        <f>Poor!Z30</f>
        <v>0</v>
      </c>
      <c r="AA30" s="120">
        <f t="shared" si="16"/>
        <v>0</v>
      </c>
      <c r="AB30" s="155">
        <f>Poor!AB30</f>
        <v>0</v>
      </c>
      <c r="AC30" s="120">
        <f t="shared" si="7"/>
        <v>0</v>
      </c>
      <c r="AD30" s="155">
        <f>Poor!AD30</f>
        <v>0.5</v>
      </c>
      <c r="AE30" s="120">
        <f t="shared" si="8"/>
        <v>0</v>
      </c>
      <c r="AF30" s="121">
        <f t="shared" si="10"/>
        <v>0.5</v>
      </c>
      <c r="AG30" s="120">
        <f t="shared" si="11"/>
        <v>0</v>
      </c>
      <c r="AH30" s="122">
        <f t="shared" si="12"/>
        <v>1</v>
      </c>
      <c r="AI30" s="183">
        <f t="shared" si="13"/>
        <v>0</v>
      </c>
      <c r="AJ30" s="119">
        <f t="shared" si="14"/>
        <v>0</v>
      </c>
      <c r="AK30" s="118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>
      <c r="A31" s="74" t="str">
        <f>IF(Poor!A31=0,"",Poor!A31)</f>
        <v>Purchase - fpl non staple</v>
      </c>
      <c r="B31" s="100">
        <f>IF([1]Summ!$H1069="",0,[1]Summ!$H1069)</f>
        <v>0.236300706057641</v>
      </c>
      <c r="C31" s="101">
        <f>IF([1]Summ!$I1069="",0,[1]Summ!$I1069)</f>
        <v>0.14333064147330618</v>
      </c>
      <c r="D31" s="24">
        <f t="shared" si="0"/>
        <v>0.37963134753094718</v>
      </c>
      <c r="E31" s="75">
        <f>Poor!E31</f>
        <v>1.01</v>
      </c>
      <c r="F31" s="22"/>
      <c r="H31" s="24">
        <f t="shared" si="1"/>
        <v>1.01</v>
      </c>
      <c r="I31" s="22">
        <f t="shared" si="2"/>
        <v>0.38342766100625664</v>
      </c>
      <c r="J31" s="24">
        <f t="shared" si="3"/>
        <v>0.23024250085330611</v>
      </c>
      <c r="K31" s="22">
        <f t="shared" si="4"/>
        <v>0.236300706057641</v>
      </c>
      <c r="L31" s="22">
        <f t="shared" si="5"/>
        <v>0.23866371311821741</v>
      </c>
      <c r="M31" s="227">
        <f t="shared" si="6"/>
        <v>0.23024250085330611</v>
      </c>
      <c r="N31" s="232"/>
      <c r="P31" s="22"/>
      <c r="Q31" s="59"/>
      <c r="R31" s="179"/>
      <c r="S31" s="179"/>
      <c r="T31" s="179"/>
      <c r="U31" s="56"/>
      <c r="V31" s="56"/>
      <c r="W31" s="109"/>
      <c r="X31" s="117"/>
      <c r="Y31" s="183">
        <f t="shared" si="9"/>
        <v>0.92097000341322444</v>
      </c>
      <c r="Z31" s="155">
        <f>Poor!Z31</f>
        <v>0.25</v>
      </c>
      <c r="AA31" s="120">
        <f t="shared" si="16"/>
        <v>0.23024250085330611</v>
      </c>
      <c r="AB31" s="155">
        <f>Poor!AB31</f>
        <v>0.25</v>
      </c>
      <c r="AC31" s="120">
        <f t="shared" si="7"/>
        <v>0.23024250085330611</v>
      </c>
      <c r="AD31" s="155">
        <f>Poor!AD31</f>
        <v>0.25</v>
      </c>
      <c r="AE31" s="120">
        <f t="shared" si="8"/>
        <v>0.23024250085330611</v>
      </c>
      <c r="AF31" s="121">
        <f t="shared" si="10"/>
        <v>0.25</v>
      </c>
      <c r="AG31" s="120">
        <f t="shared" si="11"/>
        <v>0.23024250085330611</v>
      </c>
      <c r="AH31" s="122">
        <f t="shared" si="12"/>
        <v>1</v>
      </c>
      <c r="AI31" s="183">
        <f t="shared" si="13"/>
        <v>0.23024250085330611</v>
      </c>
      <c r="AJ31" s="119">
        <f t="shared" si="14"/>
        <v>0.23024250085330611</v>
      </c>
      <c r="AK31" s="118">
        <f t="shared" si="15"/>
        <v>0.23024250085330611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 thickBot="1">
      <c r="A32" s="94" t="s">
        <v>56</v>
      </c>
      <c r="B32" s="100">
        <f>IF([1]Summ!$H1070="",0,[1]Summ!$H1070)</f>
        <v>0.64712539405799685</v>
      </c>
      <c r="C32" s="102"/>
      <c r="D32" s="24">
        <f>(D111-B116)</f>
        <v>12.217956214978173</v>
      </c>
      <c r="E32" s="75">
        <f>Poor!E32</f>
        <v>1</v>
      </c>
      <c r="H32" s="97">
        <f>(E32*F$7/F$9)</f>
        <v>1</v>
      </c>
      <c r="I32" s="29">
        <f>IF(E32&gt;=1,I111-I116,MIN(I111-I116,B32*H32))</f>
        <v>11.546526448794467</v>
      </c>
      <c r="J32" s="234">
        <f>IF(I$34&lt;=$B$34,I32,$B$34-SUM(J6:J31))</f>
        <v>0.69048483993699794</v>
      </c>
      <c r="K32" s="22">
        <f t="shared" si="4"/>
        <v>0.64712539405799685</v>
      </c>
      <c r="L32" s="22">
        <f>IF(L116=L111,0,IF(K32="",0,(L111-L116)/(B111-B116)*K32))</f>
        <v>0.60865285321274221</v>
      </c>
      <c r="M32" s="174">
        <f t="shared" si="6"/>
        <v>0.69048483993699794</v>
      </c>
      <c r="N32" s="165" t="s">
        <v>86</v>
      </c>
      <c r="O32" s="2"/>
      <c r="P32" s="22"/>
      <c r="Q32" s="56"/>
      <c r="R32" s="68"/>
      <c r="S32" s="68"/>
      <c r="T32" s="68"/>
      <c r="U32" s="56"/>
      <c r="V32" s="56"/>
      <c r="W32" s="109"/>
      <c r="X32" s="117"/>
      <c r="Y32" s="183">
        <f>M32*4</f>
        <v>2.7619393597479918</v>
      </c>
      <c r="Z32" s="121">
        <f>IF($Y32=0,0,AA32/($Y$32))</f>
        <v>-0.54552665395966604</v>
      </c>
      <c r="AA32" s="187">
        <f>IF(AA76*4/$I$80+SUM(AA6:AA31)&lt;1,AA76*4/$I$80,1-SUM(AA6:AA31))</f>
        <v>-1.5067115373628241</v>
      </c>
      <c r="AB32" s="121">
        <f>IF($Y32=0,0,AC32/($Y$32))</f>
        <v>-0.56160313485787905</v>
      </c>
      <c r="AC32" s="187">
        <f>IF(AC76*4/$I$80+SUM(AC6:AC31)&lt;1,AC76*4/$I$80,1-SUM(AC6:AC31))</f>
        <v>-1.5511138027218356</v>
      </c>
      <c r="AD32" s="121">
        <f>IF($Y32=0,0,AE32/($Y$32))</f>
        <v>-0.56363579290681332</v>
      </c>
      <c r="AE32" s="187">
        <f>IF(AE76*4/$I$80+SUM(AE6:AE31)&lt;1,AE76*4/$I$80,1-SUM(AE6:AE31))</f>
        <v>-1.5567278809920957</v>
      </c>
      <c r="AF32" s="121">
        <f>IF($Y32=0,0,AG32/($Y$32))</f>
        <v>1.6719453007554628</v>
      </c>
      <c r="AG32" s="187">
        <f>IF(AG76*4/$I$80+SUM(AG6:AG31)&lt;1,AG76*4/$I$80,1-SUM(AG6:AG31))</f>
        <v>4.6178115335022065</v>
      </c>
      <c r="AH32" s="122">
        <f t="shared" si="12"/>
        <v>1.1797190311044758E-3</v>
      </c>
      <c r="AI32" s="183">
        <f t="shared" si="13"/>
        <v>8.1457810636265116E-4</v>
      </c>
      <c r="AJ32" s="119">
        <f t="shared" si="14"/>
        <v>-1.5289126700423299</v>
      </c>
      <c r="AK32" s="118">
        <f t="shared" si="15"/>
        <v>1.5305418262550554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F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V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  <c r="CK32" s="25"/>
    </row>
    <row r="33" spans="1:89" ht="14" customHeight="1" thickBot="1">
      <c r="A33" s="95" t="s">
        <v>57</v>
      </c>
      <c r="B33" s="100" t="str">
        <f>IF(1-$B$34&gt;0,1-$B$34,"")</f>
        <v/>
      </c>
      <c r="C33" s="77"/>
      <c r="D33" s="24"/>
      <c r="E33" s="22"/>
      <c r="F33" s="22"/>
      <c r="H33" s="24"/>
      <c r="I33" s="22"/>
      <c r="J33" s="235">
        <f>($B$34-SUM(J6:J32))</f>
        <v>0</v>
      </c>
      <c r="K33" s="22" t="str">
        <f t="shared" si="4"/>
        <v/>
      </c>
      <c r="L33" s="22">
        <f>(1-SUM(L6:L32))</f>
        <v>-0.63598600006161266</v>
      </c>
      <c r="M33" s="177">
        <f t="shared" si="6"/>
        <v>0</v>
      </c>
      <c r="N33" s="166">
        <f>M33*I80</f>
        <v>0</v>
      </c>
      <c r="P33" s="22"/>
      <c r="Q33" s="59"/>
      <c r="R33" s="218"/>
      <c r="S33" s="218"/>
      <c r="T33" s="218"/>
      <c r="U33" s="56"/>
      <c r="V33" s="56"/>
      <c r="W33" s="128" t="s">
        <v>84</v>
      </c>
      <c r="X33" s="129"/>
      <c r="Y33" s="120">
        <f>M33*4</f>
        <v>0</v>
      </c>
      <c r="Z33" s="130"/>
      <c r="AA33" s="131">
        <f>1-AA34+IF($Y34&lt;0,$Y34/4,0)</f>
        <v>0</v>
      </c>
      <c r="AB33" s="130"/>
      <c r="AC33" s="132">
        <f>1-AC34+IF($Y34&lt;0,$Y34/4,0)</f>
        <v>0</v>
      </c>
      <c r="AD33" s="133"/>
      <c r="AE33" s="132">
        <f>1-AE34+IF($Y34&lt;0,$Y34/4,0)</f>
        <v>0</v>
      </c>
      <c r="AF33" s="133"/>
      <c r="AG33" s="132">
        <f>1-AG34+IF($Y34&lt;0,$Y34/4,0)</f>
        <v>0</v>
      </c>
      <c r="AH33" s="122"/>
      <c r="AI33" s="182">
        <f>SUM(AA33,AC33,AE33,AG33)/4</f>
        <v>0</v>
      </c>
      <c r="AJ33" s="134">
        <f t="shared" si="14"/>
        <v>0</v>
      </c>
      <c r="AK33" s="135">
        <f t="shared" si="15"/>
        <v>0</v>
      </c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F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V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  <c r="CK33" s="25"/>
    </row>
    <row r="34" spans="1:89" ht="14" customHeight="1">
      <c r="A34" s="22" t="s">
        <v>24</v>
      </c>
      <c r="B34" s="77">
        <f>SUM(B6:B32)</f>
        <v>1.6896702618306354</v>
      </c>
      <c r="C34" s="77">
        <f>SUM(C6:C33)</f>
        <v>0.48243714600986565</v>
      </c>
      <c r="D34" s="24">
        <f>SUM(D6:D32)</f>
        <v>13.742938228760677</v>
      </c>
      <c r="E34" s="2"/>
      <c r="F34" s="2"/>
      <c r="H34" s="17"/>
      <c r="I34" s="22">
        <f>SUM(I6:I32)</f>
        <v>13.057730048067935</v>
      </c>
      <c r="J34" s="17"/>
      <c r="L34" s="22">
        <f>SUM(L6:L32)</f>
        <v>1.6359860000616127</v>
      </c>
      <c r="M34" s="23"/>
      <c r="N34" s="56"/>
      <c r="O34" s="2"/>
      <c r="P34" s="22"/>
      <c r="Q34" s="59"/>
      <c r="R34" s="218"/>
      <c r="S34" s="218"/>
      <c r="T34" s="218"/>
      <c r="U34" s="56"/>
      <c r="V34" s="56"/>
      <c r="W34" s="109"/>
      <c r="X34" s="117"/>
      <c r="Y34" s="114">
        <f>SUM(Y6:Y33)</f>
        <v>6.7586810473225416</v>
      </c>
      <c r="Z34" s="136"/>
      <c r="AA34" s="137">
        <f>SUM(AA6:AA32)</f>
        <v>1</v>
      </c>
      <c r="AB34" s="136"/>
      <c r="AC34" s="138">
        <f>SUM(AC6:AC32)</f>
        <v>1</v>
      </c>
      <c r="AD34" s="136"/>
      <c r="AE34" s="138">
        <f>SUM(AE6:AE32)</f>
        <v>1</v>
      </c>
      <c r="AF34" s="136"/>
      <c r="AG34" s="138">
        <f>SUM(AG6:AG32)</f>
        <v>1</v>
      </c>
      <c r="AH34" s="126"/>
      <c r="AI34" s="109"/>
      <c r="AJ34" s="139">
        <f>SUM(AJ6:AJ33)</f>
        <v>1.0000000000000002</v>
      </c>
      <c r="AK34" s="140">
        <f>SUM(AK6:AK33)</f>
        <v>1</v>
      </c>
      <c r="AS34" s="25"/>
      <c r="AT34" s="25"/>
      <c r="AU34" s="25"/>
      <c r="AV34" s="25"/>
      <c r="AW34" s="25"/>
      <c r="AX34" s="25"/>
      <c r="AZ34" s="25"/>
      <c r="BA34" s="25"/>
      <c r="BB34" s="25"/>
      <c r="BC34" s="25"/>
      <c r="BD34" s="25"/>
      <c r="BE34" s="25"/>
      <c r="BI34" s="25"/>
      <c r="BJ34" s="25"/>
      <c r="BK34" s="25"/>
      <c r="BL34" s="25"/>
      <c r="BM34" s="25"/>
      <c r="BN34" s="25"/>
      <c r="BP34" s="25"/>
      <c r="BQ34" s="25"/>
      <c r="BR34" s="25"/>
      <c r="BS34" s="25"/>
      <c r="BT34" s="25"/>
      <c r="BU34" s="25"/>
      <c r="BX34" s="25"/>
      <c r="BY34" s="25"/>
      <c r="BZ34" s="25"/>
      <c r="CA34" s="25"/>
      <c r="CB34" s="25"/>
      <c r="CC34" s="25"/>
      <c r="CE34" s="25"/>
      <c r="CF34" s="25"/>
      <c r="CG34" s="25"/>
      <c r="CH34" s="25"/>
      <c r="CI34" s="25"/>
      <c r="CJ34" s="25"/>
    </row>
    <row r="35" spans="1:89" ht="14" customHeight="1" thickBot="1">
      <c r="A35" s="11"/>
      <c r="B35" s="11"/>
      <c r="C35" s="11"/>
      <c r="D35" s="10"/>
      <c r="E35" s="11"/>
      <c r="F35" s="11"/>
      <c r="G35" s="11"/>
      <c r="H35" s="10"/>
      <c r="I35" s="236" t="s">
        <v>25</v>
      </c>
      <c r="J35" s="237">
        <f>(1+K119*H119-L34-L119)/(I34-L34-L119)</f>
        <v>-5.8172026860059609E-2</v>
      </c>
      <c r="K35" s="14"/>
      <c r="L35" s="11"/>
      <c r="M35" s="30"/>
      <c r="N35" s="167" t="s">
        <v>87</v>
      </c>
      <c r="O35" s="2"/>
      <c r="P35" s="2"/>
      <c r="Q35" s="56"/>
      <c r="R35" s="56"/>
      <c r="S35" s="56"/>
      <c r="T35" s="56"/>
      <c r="U35" s="56"/>
      <c r="V35" s="56"/>
      <c r="W35" s="109"/>
      <c r="X35" s="117"/>
      <c r="Y35" s="109"/>
      <c r="Z35" s="142"/>
      <c r="AA35" s="143"/>
      <c r="AB35" s="142"/>
      <c r="AC35" s="143"/>
      <c r="AD35" s="142"/>
      <c r="AE35" s="143"/>
      <c r="AF35" s="142"/>
      <c r="AG35" s="143"/>
      <c r="AH35" s="109"/>
      <c r="AI35" s="109"/>
      <c r="AJ35" s="142"/>
      <c r="AK35" s="143"/>
      <c r="AS35" s="25"/>
      <c r="AT35" s="25"/>
      <c r="AU35" s="25"/>
      <c r="AV35" s="25"/>
      <c r="AW35" s="25"/>
      <c r="AX35" s="25"/>
      <c r="AZ35" s="25"/>
      <c r="BA35" s="25"/>
      <c r="BB35" s="25"/>
      <c r="BC35" s="25"/>
      <c r="BD35" s="25"/>
      <c r="BE35" s="25"/>
      <c r="BI35" s="25"/>
      <c r="BJ35" s="25"/>
      <c r="BK35" s="25"/>
      <c r="BL35" s="25"/>
      <c r="BM35" s="25"/>
      <c r="BN35" s="25"/>
      <c r="BP35" s="25"/>
      <c r="BQ35" s="25"/>
      <c r="BR35" s="25"/>
      <c r="BS35" s="25"/>
      <c r="BT35" s="25"/>
      <c r="BU35" s="25"/>
      <c r="BX35" s="25"/>
      <c r="BY35" s="25"/>
      <c r="BZ35" s="25"/>
      <c r="CA35" s="25"/>
      <c r="CB35" s="25"/>
      <c r="CC35" s="25"/>
      <c r="CE35" s="25"/>
      <c r="CF35" s="25"/>
      <c r="CG35" s="25"/>
      <c r="CH35" s="25"/>
      <c r="CI35" s="25"/>
      <c r="CJ35" s="25"/>
    </row>
    <row r="36" spans="1:89" ht="15.75" customHeight="1" thickBot="1">
      <c r="A36" s="73" t="s">
        <v>47</v>
      </c>
      <c r="B36" s="2"/>
      <c r="C36" s="2"/>
      <c r="D36" s="31"/>
      <c r="E36" s="32"/>
      <c r="F36" s="32"/>
      <c r="G36" s="32"/>
      <c r="H36" s="31"/>
      <c r="I36" s="2"/>
      <c r="J36" s="33"/>
      <c r="K36" s="34" t="s">
        <v>27</v>
      </c>
      <c r="L36" s="35"/>
      <c r="M36" s="36"/>
      <c r="N36" s="168">
        <f>-(M74*B73)</f>
        <v>0</v>
      </c>
      <c r="O36" s="2"/>
      <c r="P36" s="2"/>
      <c r="Q36" s="59"/>
      <c r="R36" s="218"/>
      <c r="S36" s="218"/>
      <c r="T36" s="218"/>
      <c r="U36" s="56"/>
      <c r="V36" s="56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9" ht="14" customHeight="1">
      <c r="A37" s="2"/>
      <c r="B37" s="19" t="s">
        <v>7</v>
      </c>
      <c r="C37" s="19" t="s">
        <v>8</v>
      </c>
      <c r="D37" s="16" t="s">
        <v>9</v>
      </c>
      <c r="E37" s="19" t="s">
        <v>10</v>
      </c>
      <c r="F37" s="2" t="s">
        <v>28</v>
      </c>
      <c r="G37" s="2" t="s">
        <v>29</v>
      </c>
      <c r="H37" s="16" t="s">
        <v>12</v>
      </c>
      <c r="I37" s="19" t="s">
        <v>13</v>
      </c>
      <c r="J37" s="16" t="s">
        <v>14</v>
      </c>
      <c r="K37" s="37" t="s">
        <v>7</v>
      </c>
      <c r="L37" s="19" t="s">
        <v>15</v>
      </c>
      <c r="M37" s="16" t="s">
        <v>14</v>
      </c>
      <c r="N37" s="2"/>
      <c r="O37" s="2"/>
      <c r="P37" s="2"/>
      <c r="V37" s="56"/>
      <c r="W37" s="109"/>
      <c r="X37" s="117"/>
      <c r="Y37" s="109"/>
      <c r="Z37" s="144"/>
      <c r="AA37" s="145"/>
      <c r="AB37" s="144"/>
      <c r="AC37" s="145"/>
      <c r="AD37" s="144"/>
      <c r="AE37" s="145"/>
      <c r="AF37" s="144"/>
      <c r="AG37" s="145"/>
      <c r="AH37" s="109"/>
      <c r="AI37" s="109"/>
      <c r="AJ37" s="144"/>
      <c r="AK37" s="145"/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9" ht="14" customHeight="1">
      <c r="A38" s="2" t="s">
        <v>30</v>
      </c>
      <c r="B38" s="19" t="s">
        <v>16</v>
      </c>
      <c r="C38" s="19" t="s">
        <v>17</v>
      </c>
      <c r="D38" s="16" t="s">
        <v>16</v>
      </c>
      <c r="E38" s="19" t="s">
        <v>18</v>
      </c>
      <c r="F38" s="2" t="s">
        <v>31</v>
      </c>
      <c r="G38" s="2" t="s">
        <v>31</v>
      </c>
      <c r="H38" s="16" t="s">
        <v>18</v>
      </c>
      <c r="I38" s="19" t="s">
        <v>16</v>
      </c>
      <c r="J38" s="16" t="s">
        <v>16</v>
      </c>
      <c r="K38" s="37" t="s">
        <v>16</v>
      </c>
      <c r="L38" s="19" t="s">
        <v>19</v>
      </c>
      <c r="M38" s="16" t="s">
        <v>16</v>
      </c>
      <c r="N38" s="2"/>
      <c r="O38" s="2"/>
      <c r="P38" s="2"/>
      <c r="V38" s="56"/>
      <c r="W38" s="109"/>
      <c r="X38" s="117"/>
      <c r="Y38" s="109"/>
      <c r="Z38" s="144"/>
      <c r="AA38" s="145"/>
      <c r="AB38" s="144"/>
      <c r="AC38" s="145"/>
      <c r="AD38" s="144"/>
      <c r="AE38" s="145"/>
      <c r="AF38" s="144"/>
      <c r="AG38" s="145"/>
      <c r="AH38" s="109"/>
      <c r="AI38" s="109"/>
      <c r="AJ38" s="144"/>
      <c r="AK38" s="145"/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9" ht="14" customHeight="1">
      <c r="A39" s="74" t="str">
        <f>IF(Poor!A39=0,"",Poor!A39)</f>
        <v>Pig sales: no sold</v>
      </c>
      <c r="B39" s="103">
        <f>IF([1]Summ!$H1074="",0,[1]Summ!$H1074)</f>
        <v>2800</v>
      </c>
      <c r="C39" s="103">
        <f>IF([1]Summ!$I1074="",0,[1]Summ!$I1074)</f>
        <v>0</v>
      </c>
      <c r="D39" s="38">
        <f t="shared" ref="D39:D61" si="33">B39+C39</f>
        <v>2800</v>
      </c>
      <c r="E39" s="75">
        <f>Poor!E39</f>
        <v>1</v>
      </c>
      <c r="F39" s="75">
        <f>Poor!F39</f>
        <v>1.03</v>
      </c>
      <c r="G39" s="75">
        <f>Poor!G39</f>
        <v>1.1200000000000001</v>
      </c>
      <c r="H39" s="24">
        <f t="shared" ref="H39:H61" si="34">(E39*F39)</f>
        <v>1.03</v>
      </c>
      <c r="I39" s="39">
        <f t="shared" ref="I39:I61" si="35">D39*H39</f>
        <v>2884</v>
      </c>
      <c r="J39" s="38">
        <f t="shared" ref="J39:J61" si="36">J88*I$80</f>
        <v>2884.0000000000005</v>
      </c>
      <c r="K39" s="40">
        <f t="shared" ref="K39:K61" si="37">(B39/B$62)</f>
        <v>2.9126534935292752E-2</v>
      </c>
      <c r="L39" s="22">
        <f t="shared" ref="L39:L61" si="38">(K39*H39)</f>
        <v>3.0000330983351534E-2</v>
      </c>
      <c r="M39" s="24">
        <f t="shared" ref="M39:M61" si="39">J39/B$62</f>
        <v>3.0000330983351541E-2</v>
      </c>
      <c r="N39" s="2"/>
      <c r="O39" s="2"/>
      <c r="P39" s="2"/>
      <c r="V39" s="56"/>
      <c r="W39" s="114"/>
      <c r="X39" s="117"/>
      <c r="Y39" s="109"/>
      <c r="Z39" s="121">
        <f>IF($J39=0,0,AA39/($J39))</f>
        <v>0</v>
      </c>
      <c r="AA39" s="146">
        <f>IF(SUM(AA$6:AA$31)+(SUM(AA$41:AA$61,-AA$67)/AA$80)&lt;1,IF(SUM(AA$6:AA$31)+(SUM(AA$41:AA$61,$J$39:$J$40,-AA$67)/AA$80)&lt;1,$J39,(AA$80-(SUM(AA$6:AA$31)*AA$80)-SUM(AA$41:AA$61,-AA$67))*($J39/SUM($J$39:$J$40))),0)</f>
        <v>0</v>
      </c>
      <c r="AB39" s="121">
        <f>IF($J39=0,0,AC39/($J39))</f>
        <v>0</v>
      </c>
      <c r="AC39" s="146">
        <f>IF(SUM(AC$6:AC$31)+(SUM(AC$41:AC$61,-AC$67)/AC$80)&lt;1,IF(SUM(AC$6:AC$31)+((SUM(AC$41:AC$61,$J$39:$J$40,-AC$67)-SUM($AA$39:$AA$40))/AC$80)&lt;1,$J39-$AA39,(AC$80-(SUM(AC$6:AC$31)*AC$80)-SUM(AC$41:AC$61,-AC$67))*($J39/SUM($J$39:$J$40))),0)</f>
        <v>0</v>
      </c>
      <c r="AD39" s="121">
        <f>IF($J39=0,0,AE39/($J39))</f>
        <v>0</v>
      </c>
      <c r="AE39" s="146">
        <f>IF(SUM(AE$6:AE$31)+(SUM(AE$41:AE$61,-AE$67)/AE$80)&lt;1,IF(SUM(AE$6:AE$31)+((SUM(AE$41:AE$61,$J$39:$J$40,-AE$67)-SUM($AA$39:$AA$40)-SUM($AC$39:$AC$40))/AE$80)&lt;1,$J39-$AA39-$AC39,(AE$80-(SUM(AE$6:AE$31)*AE$80)-SUM(AE$41:AE$61,-AE$67))*($J39/SUM($J$39:$J$40))),0)</f>
        <v>0</v>
      </c>
      <c r="AF39" s="121">
        <f t="shared" ref="AF39:AF61" si="40">1-SUM(Z39,AB39,AD39)</f>
        <v>1</v>
      </c>
      <c r="AG39" s="146">
        <f>$J39*AF39</f>
        <v>2884.0000000000005</v>
      </c>
      <c r="AH39" s="122">
        <f>SUM(Z39,AB39,AD39,AF39)</f>
        <v>1</v>
      </c>
      <c r="AI39" s="111">
        <f>SUM(AA39,AC39,AE39,AG39)</f>
        <v>2884.0000000000005</v>
      </c>
      <c r="AJ39" s="147">
        <f>(AA39+AC39)</f>
        <v>0</v>
      </c>
      <c r="AK39" s="146">
        <f>(AE39+AG39)</f>
        <v>2884.0000000000005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9" ht="14" customHeight="1">
      <c r="A40" s="74" t="str">
        <f>IF(Poor!A40=0,"",Poor!A40)</f>
        <v>Cattle sales - local: no. sold</v>
      </c>
      <c r="B40" s="103">
        <f>IF([1]Summ!$H1075="",0,[1]Summ!$H1075)</f>
        <v>5000</v>
      </c>
      <c r="C40" s="103">
        <f>IF([1]Summ!$I1075="",0,[1]Summ!$I1075)</f>
        <v>2500</v>
      </c>
      <c r="D40" s="38">
        <f t="shared" si="33"/>
        <v>7500</v>
      </c>
      <c r="E40" s="75">
        <f>Poor!E40</f>
        <v>1</v>
      </c>
      <c r="F40" s="75">
        <f>Poor!F40</f>
        <v>1.1100000000000001</v>
      </c>
      <c r="G40" s="22">
        <f t="shared" ref="G40:G61" si="41">(G$39)</f>
        <v>1.1200000000000001</v>
      </c>
      <c r="H40" s="24">
        <f t="shared" si="34"/>
        <v>1.1100000000000001</v>
      </c>
      <c r="I40" s="39">
        <f t="shared" si="35"/>
        <v>8325</v>
      </c>
      <c r="J40" s="38">
        <f t="shared" si="36"/>
        <v>5388.5726254633355</v>
      </c>
      <c r="K40" s="40">
        <f t="shared" si="37"/>
        <v>5.2011669527308485E-2</v>
      </c>
      <c r="L40" s="22">
        <f t="shared" si="38"/>
        <v>5.7732953175312421E-2</v>
      </c>
      <c r="M40" s="24">
        <f t="shared" si="39"/>
        <v>5.6053731723900012E-2</v>
      </c>
      <c r="N40" s="2"/>
      <c r="O40" s="2"/>
      <c r="P40" s="2"/>
      <c r="V40" s="56"/>
      <c r="W40" s="114"/>
      <c r="X40" s="117"/>
      <c r="Y40" s="109"/>
      <c r="Z40" s="121">
        <f>IF($J40=0,0,AA40/($J40))</f>
        <v>0</v>
      </c>
      <c r="AA40" s="146">
        <f>IF(SUM(AA$6:AA$31)+(SUM(AA$41:AA$61,-AA$67)/AA$80)&lt;1,IF(SUM(AA$6:AA$31)+(SUM(AA$41:AA$61,$J$39:$J$40,-AA$67)/AA$80)&lt;1,$J40,(AA$80-(SUM(AA$6:AA$31)*AA$80)-SUM(AA$41:AA$61,-AA$67))*($J40/SUM($J$39:$J$40))),0)</f>
        <v>0</v>
      </c>
      <c r="AB40" s="121">
        <f>IF($J40=0,0,AC40/($J40))</f>
        <v>0</v>
      </c>
      <c r="AC40" s="146">
        <f>IF(SUM(AC$6:AC$31)+(SUM(AC$41:AC$61,-AC$67)/AC$80)&lt;1,IF(SUM(AC$6:AC$31)+((SUM(AC$41:AC$61,$J$39:$J$40,-AC$67)-SUM($AA$39:$AA$40))/AC$80)&lt;1,$J40-$AA40,(AC$80-(SUM(AC$6:AC$31)*AC$80)-SUM(AC$41:AC$61,-AC$67))*($J40/SUM($J$39:$J$40))),0)</f>
        <v>0</v>
      </c>
      <c r="AD40" s="121">
        <f>IF($J40=0,0,AE40/($J40))</f>
        <v>0</v>
      </c>
      <c r="AE40" s="146">
        <f>IF(SUM(AE$6:AE$31)+(SUM(AE$41:AE$61,-AE$67)/AE$80)&lt;1,IF(SUM(AE$6:AE$31)+((SUM(AE$41:AE$61,$J$39:$J$40,-AE$67)-SUM($AA$39:$AA$40)-SUM($AC$39:$AC$40))/AE$80)&lt;1,$J40-$AA40-$AC40,(AE$80-(SUM(AE$6:AE$31)*AE$80)-SUM(AE$41:AE$61,-AE$67))*($J40/SUM($J$39:$J$40))),0)</f>
        <v>0</v>
      </c>
      <c r="AF40" s="121">
        <f t="shared" si="40"/>
        <v>1</v>
      </c>
      <c r="AG40" s="146">
        <f t="shared" ref="AG40:AG61" si="42">$J40*AF40</f>
        <v>5388.5726254633355</v>
      </c>
      <c r="AH40" s="122">
        <f t="shared" ref="AH40:AI55" si="43">SUM(Z40,AB40,AD40,AF40)</f>
        <v>1</v>
      </c>
      <c r="AI40" s="111">
        <f t="shared" si="43"/>
        <v>5388.5726254633355</v>
      </c>
      <c r="AJ40" s="147">
        <f t="shared" ref="AJ40:AJ61" si="44">(AA40+AC40)</f>
        <v>0</v>
      </c>
      <c r="AK40" s="146">
        <f t="shared" ref="AK40:AK61" si="45">(AE40+AG40)</f>
        <v>5388.5726254633355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9" ht="14" customHeight="1">
      <c r="A41" s="74" t="str">
        <f>IF(Poor!A41=0,"",Poor!A41)</f>
        <v>Goat sales - local: no. sold</v>
      </c>
      <c r="B41" s="103">
        <f>IF([1]Summ!$H1076="",0,[1]Summ!$H1076)</f>
        <v>1000</v>
      </c>
      <c r="C41" s="103">
        <f>IF([1]Summ!$I1076="",0,[1]Summ!$I1076)</f>
        <v>-250</v>
      </c>
      <c r="D41" s="38">
        <f t="shared" si="33"/>
        <v>750</v>
      </c>
      <c r="E41" s="75">
        <f>Poor!E41</f>
        <v>1</v>
      </c>
      <c r="F41" s="75">
        <f>Poor!F41</f>
        <v>1.0900000000000001</v>
      </c>
      <c r="G41" s="22">
        <f t="shared" si="41"/>
        <v>1.1200000000000001</v>
      </c>
      <c r="H41" s="24">
        <f t="shared" si="34"/>
        <v>1.0900000000000001</v>
      </c>
      <c r="I41" s="39">
        <f t="shared" si="35"/>
        <v>817.50000000000011</v>
      </c>
      <c r="J41" s="38">
        <f t="shared" si="36"/>
        <v>1105.8518773193662</v>
      </c>
      <c r="K41" s="40">
        <f t="shared" si="37"/>
        <v>1.0402333905461697E-2</v>
      </c>
      <c r="L41" s="22">
        <f t="shared" si="38"/>
        <v>1.1338543956953251E-2</v>
      </c>
      <c r="M41" s="24">
        <f t="shared" si="39"/>
        <v>1.1503440477857712E-2</v>
      </c>
      <c r="N41" s="2"/>
      <c r="O41" s="2"/>
      <c r="P41" s="2"/>
      <c r="V41" s="56"/>
      <c r="W41" s="114"/>
      <c r="X41" s="194">
        <f>X8</f>
        <v>0</v>
      </c>
      <c r="Y41" s="109"/>
      <c r="Z41" s="121">
        <f>Z8</f>
        <v>0</v>
      </c>
      <c r="AA41" s="146">
        <f t="shared" ref="AA41:AA61" si="46">$J41*Z41</f>
        <v>0</v>
      </c>
      <c r="AB41" s="121">
        <f>AB8</f>
        <v>0</v>
      </c>
      <c r="AC41" s="146">
        <f t="shared" ref="AC41:AC61" si="47">$J41*AB41</f>
        <v>0</v>
      </c>
      <c r="AD41" s="121">
        <f>AD8</f>
        <v>0</v>
      </c>
      <c r="AE41" s="146">
        <f t="shared" ref="AE41:AE61" si="48">$J41*AD41</f>
        <v>0</v>
      </c>
      <c r="AF41" s="121">
        <f t="shared" si="40"/>
        <v>1</v>
      </c>
      <c r="AG41" s="146">
        <f t="shared" si="42"/>
        <v>1105.8518773193662</v>
      </c>
      <c r="AH41" s="122">
        <f t="shared" si="43"/>
        <v>1</v>
      </c>
      <c r="AI41" s="111">
        <f t="shared" si="43"/>
        <v>1105.8518773193662</v>
      </c>
      <c r="AJ41" s="147">
        <f t="shared" si="44"/>
        <v>0</v>
      </c>
      <c r="AK41" s="146">
        <f t="shared" si="45"/>
        <v>1105.8518773193662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9" ht="14" customHeight="1">
      <c r="A42" s="74" t="str">
        <f>IF(Poor!A42=0,"",Poor!A42)</f>
        <v>Maize: kg produced</v>
      </c>
      <c r="B42" s="103">
        <f>IF([1]Summ!$H1077="",0,[1]Summ!$H1077)</f>
        <v>900</v>
      </c>
      <c r="C42" s="103">
        <f>IF([1]Summ!$I1077="",0,[1]Summ!$I1077)</f>
        <v>-900</v>
      </c>
      <c r="D42" s="38">
        <f t="shared" si="33"/>
        <v>0</v>
      </c>
      <c r="E42" s="75">
        <f>Poor!E42</f>
        <v>1</v>
      </c>
      <c r="F42" s="75">
        <f>Poor!F42</f>
        <v>1.02</v>
      </c>
      <c r="G42" s="22">
        <f t="shared" si="41"/>
        <v>1.1200000000000001</v>
      </c>
      <c r="H42" s="24">
        <f t="shared" si="34"/>
        <v>1.02</v>
      </c>
      <c r="I42" s="39">
        <f t="shared" si="35"/>
        <v>0</v>
      </c>
      <c r="J42" s="38">
        <f t="shared" si="36"/>
        <v>971.40192065753479</v>
      </c>
      <c r="K42" s="40">
        <f t="shared" si="37"/>
        <v>9.3621005149155268E-3</v>
      </c>
      <c r="L42" s="22">
        <f t="shared" si="38"/>
        <v>9.5493425252138383E-3</v>
      </c>
      <c r="M42" s="24">
        <f t="shared" si="39"/>
        <v>1.0104847135086487E-2</v>
      </c>
      <c r="N42" s="2"/>
      <c r="O42" s="2"/>
      <c r="P42" s="2"/>
      <c r="V42" s="56"/>
      <c r="W42" s="114"/>
      <c r="X42" s="194">
        <f>X9</f>
        <v>4</v>
      </c>
      <c r="Y42" s="109"/>
      <c r="Z42" s="121">
        <f>Z9</f>
        <v>0</v>
      </c>
      <c r="AA42" s="146">
        <f t="shared" si="46"/>
        <v>0</v>
      </c>
      <c r="AB42" s="121">
        <f>AB9</f>
        <v>0</v>
      </c>
      <c r="AC42" s="146">
        <f t="shared" si="47"/>
        <v>0</v>
      </c>
      <c r="AD42" s="121">
        <f>AD9</f>
        <v>0</v>
      </c>
      <c r="AE42" s="146">
        <f t="shared" si="48"/>
        <v>0</v>
      </c>
      <c r="AF42" s="121">
        <f t="shared" si="40"/>
        <v>1</v>
      </c>
      <c r="AG42" s="146">
        <f t="shared" si="42"/>
        <v>971.40192065753479</v>
      </c>
      <c r="AH42" s="122">
        <f t="shared" si="43"/>
        <v>1</v>
      </c>
      <c r="AI42" s="111">
        <f t="shared" si="43"/>
        <v>971.40192065753479</v>
      </c>
      <c r="AJ42" s="147">
        <f t="shared" si="44"/>
        <v>0</v>
      </c>
      <c r="AK42" s="146">
        <f t="shared" si="45"/>
        <v>971.40192065753479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9" ht="14" customHeight="1">
      <c r="A43" s="74" t="str">
        <f>IF(Poor!A43=0,"",Poor!A43)</f>
        <v>Maize (irrigated): kg produced</v>
      </c>
      <c r="B43" s="103">
        <f>IF([1]Summ!$H1078="",0,[1]Summ!$H1078)</f>
        <v>300</v>
      </c>
      <c r="C43" s="103">
        <f>IF([1]Summ!$I1078="",0,[1]Summ!$I1078)</f>
        <v>-300</v>
      </c>
      <c r="D43" s="38">
        <f t="shared" si="33"/>
        <v>0</v>
      </c>
      <c r="E43" s="75">
        <f>Poor!E43</f>
        <v>1</v>
      </c>
      <c r="F43" s="75">
        <f>Poor!F43</f>
        <v>1.02</v>
      </c>
      <c r="G43" s="22">
        <f t="shared" si="41"/>
        <v>1.1200000000000001</v>
      </c>
      <c r="H43" s="24">
        <f t="shared" si="34"/>
        <v>1.02</v>
      </c>
      <c r="I43" s="39">
        <f t="shared" si="35"/>
        <v>0</v>
      </c>
      <c r="J43" s="38">
        <f t="shared" si="36"/>
        <v>323.80064021917826</v>
      </c>
      <c r="K43" s="40">
        <f t="shared" si="37"/>
        <v>3.1207001716385091E-3</v>
      </c>
      <c r="L43" s="22">
        <f t="shared" si="38"/>
        <v>3.1831141750712794E-3</v>
      </c>
      <c r="M43" s="24">
        <f t="shared" si="39"/>
        <v>3.3682823783621626E-3</v>
      </c>
      <c r="N43" s="2"/>
      <c r="O43" s="2"/>
      <c r="P43" s="2"/>
      <c r="V43" s="56"/>
      <c r="W43" s="114"/>
      <c r="X43" s="194">
        <f>X11</f>
        <v>1</v>
      </c>
      <c r="Y43" s="109"/>
      <c r="Z43" s="121">
        <f>Z11</f>
        <v>0</v>
      </c>
      <c r="AA43" s="146">
        <f t="shared" si="46"/>
        <v>0</v>
      </c>
      <c r="AB43" s="121">
        <f>AB11</f>
        <v>0</v>
      </c>
      <c r="AC43" s="146">
        <f t="shared" si="47"/>
        <v>0</v>
      </c>
      <c r="AD43" s="121">
        <f>AD11</f>
        <v>0</v>
      </c>
      <c r="AE43" s="146">
        <f t="shared" si="48"/>
        <v>0</v>
      </c>
      <c r="AF43" s="121">
        <f t="shared" si="40"/>
        <v>1</v>
      </c>
      <c r="AG43" s="146">
        <f t="shared" si="42"/>
        <v>323.80064021917826</v>
      </c>
      <c r="AH43" s="122">
        <f t="shared" si="43"/>
        <v>1</v>
      </c>
      <c r="AI43" s="111">
        <f t="shared" si="43"/>
        <v>323.80064021917826</v>
      </c>
      <c r="AJ43" s="147">
        <f t="shared" si="44"/>
        <v>0</v>
      </c>
      <c r="AK43" s="146">
        <f t="shared" si="45"/>
        <v>323.80064021917826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9" ht="14" customHeight="1">
      <c r="A44" s="74" t="str">
        <f>IF(Poor!A44=0,"",Poor!A44)</f>
        <v>Beans season 2: kg produced</v>
      </c>
      <c r="B44" s="103">
        <f>IF([1]Summ!$H1079="",0,[1]Summ!$H1079)</f>
        <v>300</v>
      </c>
      <c r="C44" s="103">
        <f>IF([1]Summ!$I1079="",0,[1]Summ!$I1079)</f>
        <v>-300</v>
      </c>
      <c r="D44" s="38">
        <f t="shared" si="33"/>
        <v>0</v>
      </c>
      <c r="E44" s="75">
        <f>Poor!E44</f>
        <v>1</v>
      </c>
      <c r="F44" s="75">
        <f>Poor!F44</f>
        <v>1.1299999999999999</v>
      </c>
      <c r="G44" s="22">
        <f t="shared" si="41"/>
        <v>1.1200000000000001</v>
      </c>
      <c r="H44" s="24">
        <f t="shared" si="34"/>
        <v>1.1299999999999999</v>
      </c>
      <c r="I44" s="39">
        <f t="shared" si="35"/>
        <v>0</v>
      </c>
      <c r="J44" s="38">
        <f t="shared" si="36"/>
        <v>358.72031710556013</v>
      </c>
      <c r="K44" s="40">
        <f t="shared" si="37"/>
        <v>3.1207001716385091E-3</v>
      </c>
      <c r="L44" s="22">
        <f t="shared" si="38"/>
        <v>3.5263911939515148E-3</v>
      </c>
      <c r="M44" s="24">
        <f t="shared" si="39"/>
        <v>3.7315285172051398E-3</v>
      </c>
      <c r="N44" s="2"/>
      <c r="O44" s="2"/>
      <c r="P44" s="2"/>
      <c r="V44" s="56"/>
      <c r="W44" s="114"/>
      <c r="X44" s="117"/>
      <c r="Y44" s="109"/>
      <c r="Z44" s="155">
        <f>Poor!Z44</f>
        <v>0.25</v>
      </c>
      <c r="AA44" s="146">
        <f t="shared" si="46"/>
        <v>89.680079276390032</v>
      </c>
      <c r="AB44" s="155">
        <f>Poor!AB44</f>
        <v>0</v>
      </c>
      <c r="AC44" s="146">
        <f t="shared" si="47"/>
        <v>0</v>
      </c>
      <c r="AD44" s="155">
        <f>Poor!AD44</f>
        <v>0.5</v>
      </c>
      <c r="AE44" s="146">
        <f t="shared" si="48"/>
        <v>179.36015855278006</v>
      </c>
      <c r="AF44" s="121">
        <f t="shared" si="40"/>
        <v>0.25</v>
      </c>
      <c r="AG44" s="146">
        <f t="shared" si="42"/>
        <v>89.680079276390032</v>
      </c>
      <c r="AH44" s="122">
        <f t="shared" si="43"/>
        <v>1</v>
      </c>
      <c r="AI44" s="111">
        <f t="shared" si="43"/>
        <v>358.72031710556013</v>
      </c>
      <c r="AJ44" s="147">
        <f t="shared" si="44"/>
        <v>89.680079276390032</v>
      </c>
      <c r="AK44" s="146">
        <f t="shared" si="45"/>
        <v>269.04023782917011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9" ht="14" customHeight="1">
      <c r="A45" s="74" t="str">
        <f>IF(Poor!A45=0,"",Poor!A45)</f>
        <v>Other root crops (sweet potato): no. local meas</v>
      </c>
      <c r="B45" s="103">
        <f>IF([1]Summ!$H1080="",0,[1]Summ!$H1080)</f>
        <v>2000</v>
      </c>
      <c r="C45" s="103">
        <f>IF([1]Summ!$I1080="",0,[1]Summ!$I1080)</f>
        <v>-2000</v>
      </c>
      <c r="D45" s="38">
        <f t="shared" si="33"/>
        <v>0</v>
      </c>
      <c r="E45" s="75">
        <f>Poor!E45</f>
        <v>1</v>
      </c>
      <c r="F45" s="75">
        <f>Poor!F45</f>
        <v>1</v>
      </c>
      <c r="G45" s="22">
        <f t="shared" si="41"/>
        <v>1.1200000000000001</v>
      </c>
      <c r="H45" s="24">
        <f t="shared" si="34"/>
        <v>1</v>
      </c>
      <c r="I45" s="39">
        <f t="shared" si="35"/>
        <v>0</v>
      </c>
      <c r="J45" s="38">
        <f t="shared" si="36"/>
        <v>2116.3440537201191</v>
      </c>
      <c r="K45" s="40">
        <f t="shared" si="37"/>
        <v>2.0804667810923393E-2</v>
      </c>
      <c r="L45" s="22">
        <f t="shared" si="38"/>
        <v>2.0804667810923393E-2</v>
      </c>
      <c r="M45" s="24">
        <f t="shared" si="39"/>
        <v>2.2014917505635046E-2</v>
      </c>
      <c r="N45" s="2"/>
      <c r="O45" s="2"/>
      <c r="P45" s="2"/>
      <c r="V45" s="56"/>
      <c r="W45" s="114"/>
      <c r="X45" s="117"/>
      <c r="Y45" s="109"/>
      <c r="Z45" s="155">
        <f>Poor!Z45</f>
        <v>0.25</v>
      </c>
      <c r="AA45" s="146">
        <f t="shared" si="46"/>
        <v>529.08601343002977</v>
      </c>
      <c r="AB45" s="155">
        <f>Poor!AB45</f>
        <v>0.25</v>
      </c>
      <c r="AC45" s="146">
        <f t="shared" si="47"/>
        <v>529.08601343002977</v>
      </c>
      <c r="AD45" s="155">
        <f>Poor!AD45</f>
        <v>0.25</v>
      </c>
      <c r="AE45" s="146">
        <f t="shared" si="48"/>
        <v>529.08601343002977</v>
      </c>
      <c r="AF45" s="121">
        <f t="shared" si="40"/>
        <v>0.25</v>
      </c>
      <c r="AG45" s="146">
        <f t="shared" si="42"/>
        <v>529.08601343002977</v>
      </c>
      <c r="AH45" s="122">
        <f t="shared" si="43"/>
        <v>1</v>
      </c>
      <c r="AI45" s="111">
        <f t="shared" si="43"/>
        <v>2116.3440537201191</v>
      </c>
      <c r="AJ45" s="147">
        <f t="shared" si="44"/>
        <v>1058.1720268600595</v>
      </c>
      <c r="AK45" s="146">
        <f t="shared" si="45"/>
        <v>1058.1720268600595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9" ht="14" customHeight="1">
      <c r="A46" s="74" t="str">
        <f>IF(Poor!A46=0,"",Poor!A46)</f>
        <v>Groundnuts (dry): no. local meas</v>
      </c>
      <c r="B46" s="103">
        <f>IF([1]Summ!$H1081="",0,[1]Summ!$H1081)</f>
        <v>900</v>
      </c>
      <c r="C46" s="103">
        <f>IF([1]Summ!$I1081="",0,[1]Summ!$I1081)</f>
        <v>-900</v>
      </c>
      <c r="D46" s="38">
        <f t="shared" si="33"/>
        <v>0</v>
      </c>
      <c r="E46" s="75">
        <f>Poor!E46</f>
        <v>1</v>
      </c>
      <c r="F46" s="75">
        <f>Poor!F46</f>
        <v>1</v>
      </c>
      <c r="G46" s="22">
        <f t="shared" si="41"/>
        <v>1.1200000000000001</v>
      </c>
      <c r="H46" s="24">
        <f t="shared" si="34"/>
        <v>1</v>
      </c>
      <c r="I46" s="39">
        <f t="shared" si="35"/>
        <v>0</v>
      </c>
      <c r="J46" s="38">
        <f t="shared" si="36"/>
        <v>952.35482417405376</v>
      </c>
      <c r="K46" s="40">
        <f t="shared" si="37"/>
        <v>9.3621005149155268E-3</v>
      </c>
      <c r="L46" s="22">
        <f t="shared" si="38"/>
        <v>9.3621005149155268E-3</v>
      </c>
      <c r="M46" s="24">
        <f t="shared" si="39"/>
        <v>9.906712877535773E-3</v>
      </c>
      <c r="N46" s="2"/>
      <c r="O46" s="2"/>
      <c r="P46" s="2"/>
      <c r="V46" s="56"/>
      <c r="W46" s="116"/>
      <c r="X46" s="117"/>
      <c r="Y46" s="109"/>
      <c r="Z46" s="155">
        <f>Poor!Z46</f>
        <v>0.25</v>
      </c>
      <c r="AA46" s="146">
        <f t="shared" si="46"/>
        <v>238.08870604351344</v>
      </c>
      <c r="AB46" s="155">
        <f>Poor!AB46</f>
        <v>0.25</v>
      </c>
      <c r="AC46" s="146">
        <f t="shared" si="47"/>
        <v>238.08870604351344</v>
      </c>
      <c r="AD46" s="155">
        <f>Poor!AD46</f>
        <v>0.25</v>
      </c>
      <c r="AE46" s="146">
        <f t="shared" si="48"/>
        <v>238.08870604351344</v>
      </c>
      <c r="AF46" s="121">
        <f t="shared" si="40"/>
        <v>0.25</v>
      </c>
      <c r="AG46" s="146">
        <f t="shared" si="42"/>
        <v>238.08870604351344</v>
      </c>
      <c r="AH46" s="122">
        <f t="shared" si="43"/>
        <v>1</v>
      </c>
      <c r="AI46" s="111">
        <f t="shared" si="43"/>
        <v>952.35482417405376</v>
      </c>
      <c r="AJ46" s="147">
        <f t="shared" si="44"/>
        <v>476.17741208702688</v>
      </c>
      <c r="AK46" s="146">
        <f t="shared" si="45"/>
        <v>476.17741208702688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9" ht="14" customHeight="1">
      <c r="A47" s="74" t="str">
        <f>IF(Poor!A47=0,"",Poor!A47)</f>
        <v>Other crop: Rape</v>
      </c>
      <c r="B47" s="103">
        <f>IF([1]Summ!$H1082="",0,[1]Summ!$H1082)</f>
        <v>175</v>
      </c>
      <c r="C47" s="103">
        <f>IF([1]Summ!$I1082="",0,[1]Summ!$I1082)</f>
        <v>-175</v>
      </c>
      <c r="D47" s="38">
        <f t="shared" si="33"/>
        <v>0</v>
      </c>
      <c r="E47" s="75">
        <f>Poor!E47</f>
        <v>1</v>
      </c>
      <c r="F47" s="75">
        <f>Poor!F47</f>
        <v>1.07</v>
      </c>
      <c r="G47" s="22">
        <f t="shared" si="41"/>
        <v>1.1200000000000001</v>
      </c>
      <c r="H47" s="24">
        <f t="shared" si="34"/>
        <v>1.07</v>
      </c>
      <c r="I47" s="39">
        <f t="shared" si="35"/>
        <v>0</v>
      </c>
      <c r="J47" s="38">
        <f t="shared" si="36"/>
        <v>198.14271202954617</v>
      </c>
      <c r="K47" s="40">
        <f t="shared" si="37"/>
        <v>1.820408433455797E-3</v>
      </c>
      <c r="L47" s="22">
        <f t="shared" si="38"/>
        <v>1.947837023797703E-3</v>
      </c>
      <c r="M47" s="24">
        <f t="shared" si="39"/>
        <v>2.0611466514650813E-3</v>
      </c>
      <c r="N47" s="2"/>
      <c r="O47" s="2"/>
      <c r="P47" s="2"/>
      <c r="Q47" s="2"/>
      <c r="R47" s="2"/>
      <c r="S47" s="2"/>
      <c r="T47" s="69"/>
      <c r="U47" s="56"/>
      <c r="V47" s="56"/>
      <c r="W47" s="109"/>
      <c r="X47" s="117"/>
      <c r="Y47" s="109"/>
      <c r="Z47" s="155">
        <f>Poor!Z47</f>
        <v>0.25</v>
      </c>
      <c r="AA47" s="146">
        <f t="shared" si="46"/>
        <v>49.535678007386544</v>
      </c>
      <c r="AB47" s="155">
        <f>Poor!AB47</f>
        <v>0.25</v>
      </c>
      <c r="AC47" s="146">
        <f t="shared" si="47"/>
        <v>49.535678007386544</v>
      </c>
      <c r="AD47" s="155">
        <f>Poor!AD47</f>
        <v>0.25</v>
      </c>
      <c r="AE47" s="146">
        <f t="shared" si="48"/>
        <v>49.535678007386544</v>
      </c>
      <c r="AF47" s="121">
        <f t="shared" si="40"/>
        <v>0.25</v>
      </c>
      <c r="AG47" s="146">
        <f t="shared" si="42"/>
        <v>49.535678007386544</v>
      </c>
      <c r="AH47" s="122">
        <f t="shared" si="43"/>
        <v>1</v>
      </c>
      <c r="AI47" s="111">
        <f t="shared" si="43"/>
        <v>198.14271202954617</v>
      </c>
      <c r="AJ47" s="147">
        <f t="shared" si="44"/>
        <v>99.071356014773087</v>
      </c>
      <c r="AK47" s="146">
        <f t="shared" si="45"/>
        <v>99.071356014773087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9" ht="14" customHeight="1">
      <c r="A48" s="74" t="str">
        <f>IF(Poor!A48=0,"",Poor!A48)</f>
        <v>Other cashcrop (cabbage): kg produced</v>
      </c>
      <c r="B48" s="103">
        <f>IF([1]Summ!$H1083="",0,[1]Summ!$H1083)</f>
        <v>800</v>
      </c>
      <c r="C48" s="103">
        <f>IF([1]Summ!$I1083="",0,[1]Summ!$I1083)</f>
        <v>0</v>
      </c>
      <c r="D48" s="38">
        <f t="shared" si="33"/>
        <v>800</v>
      </c>
      <c r="E48" s="75">
        <f>Poor!E48</f>
        <v>1</v>
      </c>
      <c r="F48" s="75">
        <f>Poor!F48</f>
        <v>1.08</v>
      </c>
      <c r="G48" s="22">
        <f t="shared" si="41"/>
        <v>1.1200000000000001</v>
      </c>
      <c r="H48" s="24">
        <f t="shared" si="34"/>
        <v>1.08</v>
      </c>
      <c r="I48" s="39">
        <f t="shared" si="35"/>
        <v>864</v>
      </c>
      <c r="J48" s="38">
        <f t="shared" si="36"/>
        <v>864</v>
      </c>
      <c r="K48" s="40">
        <f t="shared" si="37"/>
        <v>8.321867124369357E-3</v>
      </c>
      <c r="L48" s="22">
        <f t="shared" si="38"/>
        <v>8.9876164943189056E-3</v>
      </c>
      <c r="M48" s="24">
        <f t="shared" si="39"/>
        <v>8.9876164943189056E-3</v>
      </c>
      <c r="N48" s="2"/>
      <c r="O48" s="2"/>
      <c r="P48" s="2"/>
      <c r="Q48" s="2"/>
      <c r="R48" s="2"/>
      <c r="S48" s="2"/>
      <c r="T48" s="69"/>
      <c r="U48" s="56"/>
      <c r="V48" s="56"/>
      <c r="W48" s="109"/>
      <c r="X48" s="117"/>
      <c r="Y48" s="109"/>
      <c r="Z48" s="155">
        <f>Poor!Z48</f>
        <v>0.25</v>
      </c>
      <c r="AA48" s="146">
        <f t="shared" si="46"/>
        <v>216</v>
      </c>
      <c r="AB48" s="155">
        <f>Poor!AB48</f>
        <v>0.25</v>
      </c>
      <c r="AC48" s="146">
        <f t="shared" si="47"/>
        <v>216</v>
      </c>
      <c r="AD48" s="155">
        <f>Poor!AD48</f>
        <v>0.25</v>
      </c>
      <c r="AE48" s="146">
        <f t="shared" si="48"/>
        <v>216</v>
      </c>
      <c r="AF48" s="121">
        <f t="shared" si="40"/>
        <v>0.25</v>
      </c>
      <c r="AG48" s="146">
        <f t="shared" si="42"/>
        <v>216</v>
      </c>
      <c r="AH48" s="122">
        <f t="shared" si="43"/>
        <v>1</v>
      </c>
      <c r="AI48" s="111">
        <f t="shared" si="43"/>
        <v>864</v>
      </c>
      <c r="AJ48" s="147">
        <f t="shared" si="44"/>
        <v>432</v>
      </c>
      <c r="AK48" s="146">
        <f t="shared" si="45"/>
        <v>432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FISHING -- see worksheet Data 3</v>
      </c>
      <c r="B49" s="103">
        <f>IF([1]Summ!$H1084="",0,[1]Summ!$H1084)</f>
        <v>0</v>
      </c>
      <c r="C49" s="103">
        <f>IF([1]Summ!$I1084="",0,[1]Summ!$I1084)</f>
        <v>0</v>
      </c>
      <c r="D49" s="38">
        <f t="shared" si="33"/>
        <v>0</v>
      </c>
      <c r="E49" s="75">
        <f>Poor!E49</f>
        <v>1</v>
      </c>
      <c r="F49" s="75">
        <f>Poor!F49</f>
        <v>1</v>
      </c>
      <c r="G49" s="22">
        <f t="shared" si="41"/>
        <v>1.1200000000000001</v>
      </c>
      <c r="H49" s="24">
        <f t="shared" si="34"/>
        <v>1</v>
      </c>
      <c r="I49" s="39">
        <f t="shared" si="35"/>
        <v>0</v>
      </c>
      <c r="J49" s="38">
        <f t="shared" si="36"/>
        <v>0</v>
      </c>
      <c r="K49" s="40">
        <f t="shared" si="37"/>
        <v>0</v>
      </c>
      <c r="L49" s="22">
        <f t="shared" si="38"/>
        <v>0</v>
      </c>
      <c r="M49" s="24">
        <f t="shared" si="39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09"/>
      <c r="X49" s="117"/>
      <c r="Y49" s="109"/>
      <c r="Z49" s="155">
        <f>Poor!Z49</f>
        <v>0.25</v>
      </c>
      <c r="AA49" s="146">
        <f t="shared" si="46"/>
        <v>0</v>
      </c>
      <c r="AB49" s="155">
        <f>Poor!AB49</f>
        <v>0.25</v>
      </c>
      <c r="AC49" s="146">
        <f t="shared" si="47"/>
        <v>0</v>
      </c>
      <c r="AD49" s="155">
        <f>Poor!AD49</f>
        <v>0.25</v>
      </c>
      <c r="AE49" s="146">
        <f t="shared" si="48"/>
        <v>0</v>
      </c>
      <c r="AF49" s="121">
        <f t="shared" si="40"/>
        <v>0.25</v>
      </c>
      <c r="AG49" s="146">
        <f t="shared" si="42"/>
        <v>0</v>
      </c>
      <c r="AH49" s="122">
        <f t="shared" si="43"/>
        <v>1</v>
      </c>
      <c r="AI49" s="111">
        <f t="shared" si="43"/>
        <v>0</v>
      </c>
      <c r="AJ49" s="147">
        <f t="shared" si="44"/>
        <v>0</v>
      </c>
      <c r="AK49" s="146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3">
        <f>IF([1]Summ!$H1085="",0,[1]Summ!$H1085)</f>
        <v>0</v>
      </c>
      <c r="C50" s="103">
        <f>IF([1]Summ!$I1085="",0,[1]Summ!$I1085)</f>
        <v>0</v>
      </c>
      <c r="D50" s="38">
        <f t="shared" si="33"/>
        <v>0</v>
      </c>
      <c r="E50" s="75">
        <f>Poor!E50</f>
        <v>0.8</v>
      </c>
      <c r="F50" s="75">
        <f>Poor!F50</f>
        <v>1</v>
      </c>
      <c r="G50" s="22">
        <f t="shared" si="41"/>
        <v>1.1200000000000001</v>
      </c>
      <c r="H50" s="24">
        <f t="shared" si="34"/>
        <v>0.8</v>
      </c>
      <c r="I50" s="39">
        <f t="shared" si="35"/>
        <v>0</v>
      </c>
      <c r="J50" s="38">
        <f t="shared" si="36"/>
        <v>0</v>
      </c>
      <c r="K50" s="40">
        <f t="shared" si="37"/>
        <v>0</v>
      </c>
      <c r="L50" s="22">
        <f t="shared" si="38"/>
        <v>0</v>
      </c>
      <c r="M50" s="24">
        <f t="shared" si="39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09"/>
      <c r="X50" s="117"/>
      <c r="Y50" s="109"/>
      <c r="Z50" s="155">
        <f>Poor!Z50</f>
        <v>0.25</v>
      </c>
      <c r="AA50" s="146">
        <f t="shared" si="46"/>
        <v>0</v>
      </c>
      <c r="AB50" s="155">
        <f>Poor!AB50</f>
        <v>0.25</v>
      </c>
      <c r="AC50" s="146">
        <f t="shared" si="47"/>
        <v>0</v>
      </c>
      <c r="AD50" s="155">
        <f>Poor!AD50</f>
        <v>0.25</v>
      </c>
      <c r="AE50" s="146">
        <f t="shared" si="48"/>
        <v>0</v>
      </c>
      <c r="AF50" s="121">
        <f t="shared" si="40"/>
        <v>0.25</v>
      </c>
      <c r="AG50" s="146">
        <f t="shared" si="42"/>
        <v>0</v>
      </c>
      <c r="AH50" s="122">
        <f t="shared" si="43"/>
        <v>1</v>
      </c>
      <c r="AI50" s="111">
        <f t="shared" si="43"/>
        <v>0</v>
      </c>
      <c r="AJ50" s="147">
        <f t="shared" si="44"/>
        <v>0</v>
      </c>
      <c r="AK50" s="146">
        <f t="shared" si="45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casual work -- see Data2</v>
      </c>
      <c r="B51" s="103">
        <f>IF([1]Summ!$H1086="",0,[1]Summ!$H1086)</f>
        <v>0</v>
      </c>
      <c r="C51" s="103">
        <f>IF([1]Summ!$I1086="",0,[1]Summ!$I1086)</f>
        <v>0</v>
      </c>
      <c r="D51" s="38">
        <f t="shared" si="33"/>
        <v>0</v>
      </c>
      <c r="E51" s="75">
        <f>Poor!E51</f>
        <v>0.87</v>
      </c>
      <c r="F51" s="75">
        <f>Poor!F51</f>
        <v>1.1100000000000001</v>
      </c>
      <c r="G51" s="22">
        <f t="shared" si="41"/>
        <v>1.1200000000000001</v>
      </c>
      <c r="H51" s="24">
        <f t="shared" si="34"/>
        <v>0.96570000000000011</v>
      </c>
      <c r="I51" s="39">
        <f t="shared" si="35"/>
        <v>0</v>
      </c>
      <c r="J51" s="38">
        <f t="shared" si="36"/>
        <v>0</v>
      </c>
      <c r="K51" s="40">
        <f t="shared" si="37"/>
        <v>0</v>
      </c>
      <c r="L51" s="22">
        <f t="shared" si="38"/>
        <v>0</v>
      </c>
      <c r="M51" s="24">
        <f t="shared" si="39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09"/>
      <c r="X51" s="117"/>
      <c r="Y51" s="109"/>
      <c r="Z51" s="155">
        <f>Poor!Z51</f>
        <v>0.25</v>
      </c>
      <c r="AA51" s="146">
        <f t="shared" si="46"/>
        <v>0</v>
      </c>
      <c r="AB51" s="155">
        <f>Poor!AB51</f>
        <v>0.25</v>
      </c>
      <c r="AC51" s="146">
        <f t="shared" si="47"/>
        <v>0</v>
      </c>
      <c r="AD51" s="155">
        <f>Poor!AD51</f>
        <v>0.25</v>
      </c>
      <c r="AE51" s="146">
        <f t="shared" si="48"/>
        <v>0</v>
      </c>
      <c r="AF51" s="121">
        <f t="shared" si="40"/>
        <v>0.25</v>
      </c>
      <c r="AG51" s="146">
        <f t="shared" si="42"/>
        <v>0</v>
      </c>
      <c r="AH51" s="122">
        <f t="shared" si="43"/>
        <v>1</v>
      </c>
      <c r="AI51" s="111">
        <f t="shared" si="43"/>
        <v>0</v>
      </c>
      <c r="AJ51" s="147">
        <f t="shared" si="44"/>
        <v>0</v>
      </c>
      <c r="AK51" s="146">
        <f t="shared" si="45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casual work -- see Data2</v>
      </c>
      <c r="B52" s="103">
        <f>IF([1]Summ!$H1087="",0,[1]Summ!$H1087)</f>
        <v>0</v>
      </c>
      <c r="C52" s="103">
        <f>IF([1]Summ!$I1087="",0,[1]Summ!$I1087)</f>
        <v>0</v>
      </c>
      <c r="D52" s="38">
        <f t="shared" si="33"/>
        <v>0</v>
      </c>
      <c r="E52" s="75">
        <f>Poor!E52</f>
        <v>1</v>
      </c>
      <c r="F52" s="75">
        <f>Poor!F52</f>
        <v>1.1000000000000001</v>
      </c>
      <c r="G52" s="22">
        <f t="shared" si="41"/>
        <v>1.1200000000000001</v>
      </c>
      <c r="H52" s="24">
        <f t="shared" si="34"/>
        <v>1.1000000000000001</v>
      </c>
      <c r="I52" s="39">
        <f t="shared" si="35"/>
        <v>0</v>
      </c>
      <c r="J52" s="38">
        <f t="shared" si="36"/>
        <v>0</v>
      </c>
      <c r="K52" s="40">
        <f t="shared" si="37"/>
        <v>0</v>
      </c>
      <c r="L52" s="22">
        <f t="shared" si="38"/>
        <v>0</v>
      </c>
      <c r="M52" s="24">
        <f t="shared" si="39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09"/>
      <c r="X52" s="117"/>
      <c r="Y52" s="109"/>
      <c r="Z52" s="155">
        <f>Poor!Z52</f>
        <v>0.25</v>
      </c>
      <c r="AA52" s="146">
        <f t="shared" si="46"/>
        <v>0</v>
      </c>
      <c r="AB52" s="155">
        <f>Poor!AB52</f>
        <v>0.25</v>
      </c>
      <c r="AC52" s="146">
        <f t="shared" si="47"/>
        <v>0</v>
      </c>
      <c r="AD52" s="155">
        <f>Poor!AD52</f>
        <v>0.25</v>
      </c>
      <c r="AE52" s="146">
        <f t="shared" si="48"/>
        <v>0</v>
      </c>
      <c r="AF52" s="121">
        <f t="shared" si="40"/>
        <v>0.25</v>
      </c>
      <c r="AG52" s="146">
        <f t="shared" si="42"/>
        <v>0</v>
      </c>
      <c r="AH52" s="122">
        <f t="shared" si="43"/>
        <v>1</v>
      </c>
      <c r="AI52" s="111">
        <f t="shared" si="43"/>
        <v>0</v>
      </c>
      <c r="AJ52" s="147">
        <f t="shared" si="44"/>
        <v>0</v>
      </c>
      <c r="AK52" s="146">
        <f t="shared" si="45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casual work -- see Data2</v>
      </c>
      <c r="B53" s="103">
        <f>IF([1]Summ!$H1088="",0,[1]Summ!$H1088)</f>
        <v>0</v>
      </c>
      <c r="C53" s="103">
        <f>IF([1]Summ!$I1088="",0,[1]Summ!$I1088)</f>
        <v>0</v>
      </c>
      <c r="D53" s="38">
        <f t="shared" si="33"/>
        <v>0</v>
      </c>
      <c r="E53" s="75">
        <f>Poor!E53</f>
        <v>1</v>
      </c>
      <c r="F53" s="75">
        <f>Poor!F53</f>
        <v>1.1000000000000001</v>
      </c>
      <c r="G53" s="22">
        <f t="shared" si="41"/>
        <v>1.1200000000000001</v>
      </c>
      <c r="H53" s="24">
        <f t="shared" si="34"/>
        <v>1.1000000000000001</v>
      </c>
      <c r="I53" s="39">
        <f t="shared" si="35"/>
        <v>0</v>
      </c>
      <c r="J53" s="38">
        <f t="shared" si="36"/>
        <v>0</v>
      </c>
      <c r="K53" s="40">
        <f t="shared" si="37"/>
        <v>0</v>
      </c>
      <c r="L53" s="22">
        <f t="shared" si="38"/>
        <v>0</v>
      </c>
      <c r="M53" s="24">
        <f t="shared" si="39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09"/>
      <c r="X53" s="117"/>
      <c r="Y53" s="109"/>
      <c r="Z53" s="155">
        <f>Poor!Z53</f>
        <v>0.25</v>
      </c>
      <c r="AA53" s="146">
        <f t="shared" si="46"/>
        <v>0</v>
      </c>
      <c r="AB53" s="155">
        <f>Poor!AB53</f>
        <v>0.25</v>
      </c>
      <c r="AC53" s="146">
        <f t="shared" si="47"/>
        <v>0</v>
      </c>
      <c r="AD53" s="155">
        <f>Poor!AD53</f>
        <v>0.25</v>
      </c>
      <c r="AE53" s="146">
        <f t="shared" si="48"/>
        <v>0</v>
      </c>
      <c r="AF53" s="121">
        <f t="shared" si="40"/>
        <v>0.25</v>
      </c>
      <c r="AG53" s="146">
        <f t="shared" si="42"/>
        <v>0</v>
      </c>
      <c r="AH53" s="122">
        <f t="shared" si="43"/>
        <v>1</v>
      </c>
      <c r="AI53" s="111">
        <f t="shared" si="43"/>
        <v>0</v>
      </c>
      <c r="AJ53" s="147">
        <f t="shared" si="44"/>
        <v>0</v>
      </c>
      <c r="AK53" s="146">
        <f t="shared" si="45"/>
        <v>0</v>
      </c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Labour migration: no. people per HH</v>
      </c>
      <c r="B54" s="103">
        <f>IF([1]Summ!$H1089="",0,[1]Summ!$H1089)</f>
        <v>42000</v>
      </c>
      <c r="C54" s="103">
        <f>IF([1]Summ!$I1089="",0,[1]Summ!$I1089)</f>
        <v>0</v>
      </c>
      <c r="D54" s="38">
        <f t="shared" si="33"/>
        <v>42000</v>
      </c>
      <c r="E54" s="75">
        <f>Poor!E54</f>
        <v>1</v>
      </c>
      <c r="F54" s="75">
        <f>Poor!F54</f>
        <v>1.07</v>
      </c>
      <c r="G54" s="22">
        <f t="shared" si="41"/>
        <v>1.1200000000000001</v>
      </c>
      <c r="H54" s="24">
        <f t="shared" si="34"/>
        <v>1.07</v>
      </c>
      <c r="I54" s="39">
        <f t="shared" si="35"/>
        <v>44940</v>
      </c>
      <c r="J54" s="38">
        <f t="shared" si="36"/>
        <v>44940</v>
      </c>
      <c r="K54" s="40">
        <f t="shared" si="37"/>
        <v>0.43689802402939126</v>
      </c>
      <c r="L54" s="22">
        <f t="shared" si="38"/>
        <v>0.46748088571144869</v>
      </c>
      <c r="M54" s="24">
        <f t="shared" si="39"/>
        <v>0.46748088571144869</v>
      </c>
      <c r="N54" s="2"/>
      <c r="O54" s="2"/>
      <c r="P54" s="2"/>
      <c r="Q54" s="2"/>
      <c r="R54" s="2"/>
      <c r="S54" s="2"/>
      <c r="T54" s="2"/>
      <c r="U54" s="56"/>
      <c r="V54" s="56"/>
      <c r="W54" s="109"/>
      <c r="X54" s="117"/>
      <c r="Y54" s="109"/>
      <c r="Z54" s="155">
        <f>Poor!Z54</f>
        <v>0.25</v>
      </c>
      <c r="AA54" s="146">
        <f t="shared" si="46"/>
        <v>11235</v>
      </c>
      <c r="AB54" s="155">
        <f>Poor!AB54</f>
        <v>0.25</v>
      </c>
      <c r="AC54" s="146">
        <f t="shared" si="47"/>
        <v>11235</v>
      </c>
      <c r="AD54" s="155">
        <f>Poor!AD54</f>
        <v>0.25</v>
      </c>
      <c r="AE54" s="146">
        <f t="shared" si="48"/>
        <v>11235</v>
      </c>
      <c r="AF54" s="121">
        <f t="shared" si="40"/>
        <v>0.25</v>
      </c>
      <c r="AG54" s="146">
        <f t="shared" si="42"/>
        <v>11235</v>
      </c>
      <c r="AH54" s="122">
        <f t="shared" si="43"/>
        <v>1</v>
      </c>
      <c r="AI54" s="111">
        <f t="shared" si="43"/>
        <v>44940</v>
      </c>
      <c r="AJ54" s="147">
        <f t="shared" si="44"/>
        <v>22470</v>
      </c>
      <c r="AK54" s="146">
        <f t="shared" si="45"/>
        <v>22470</v>
      </c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Formal Employment (e.g. teachers, salaried staff, etc.)</v>
      </c>
      <c r="B55" s="103">
        <f>IF([1]Summ!$H1090="",0,[1]Summ!$H1090)</f>
        <v>24000</v>
      </c>
      <c r="C55" s="103">
        <f>IF([1]Summ!$I1090="",0,[1]Summ!$I1090)</f>
        <v>0</v>
      </c>
      <c r="D55" s="38">
        <f t="shared" si="33"/>
        <v>24000</v>
      </c>
      <c r="E55" s="75">
        <f>Poor!E55</f>
        <v>1</v>
      </c>
      <c r="F55" s="75">
        <f>Poor!F55</f>
        <v>1.07</v>
      </c>
      <c r="G55" s="22">
        <f t="shared" si="41"/>
        <v>1.1200000000000001</v>
      </c>
      <c r="H55" s="24">
        <f t="shared" si="34"/>
        <v>1.07</v>
      </c>
      <c r="I55" s="39">
        <f t="shared" si="35"/>
        <v>25680</v>
      </c>
      <c r="J55" s="38">
        <f t="shared" si="36"/>
        <v>25680</v>
      </c>
      <c r="K55" s="40">
        <f t="shared" si="37"/>
        <v>0.24965601373108073</v>
      </c>
      <c r="L55" s="22">
        <f t="shared" si="38"/>
        <v>0.26713193469225638</v>
      </c>
      <c r="M55" s="24">
        <f t="shared" si="39"/>
        <v>0.26713193469225638</v>
      </c>
      <c r="N55" s="2"/>
      <c r="O55" s="2"/>
      <c r="P55" s="2"/>
      <c r="Q55" s="2"/>
      <c r="R55" s="2"/>
      <c r="S55" s="2"/>
      <c r="T55" s="2"/>
      <c r="U55" s="56"/>
      <c r="V55" s="56"/>
      <c r="W55" s="109"/>
      <c r="X55" s="117"/>
      <c r="Y55" s="109"/>
      <c r="Z55" s="155">
        <f>Poor!Z55</f>
        <v>0.25</v>
      </c>
      <c r="AA55" s="146">
        <f t="shared" si="46"/>
        <v>6420</v>
      </c>
      <c r="AB55" s="155">
        <f>Poor!AB55</f>
        <v>0.25</v>
      </c>
      <c r="AC55" s="146">
        <f t="shared" si="47"/>
        <v>6420</v>
      </c>
      <c r="AD55" s="155">
        <f>Poor!AD55</f>
        <v>0.25</v>
      </c>
      <c r="AE55" s="146">
        <f t="shared" si="48"/>
        <v>6420</v>
      </c>
      <c r="AF55" s="121">
        <f t="shared" si="40"/>
        <v>0.25</v>
      </c>
      <c r="AG55" s="146">
        <f t="shared" si="42"/>
        <v>6420</v>
      </c>
      <c r="AH55" s="122">
        <f t="shared" si="43"/>
        <v>1</v>
      </c>
      <c r="AI55" s="111">
        <f t="shared" si="43"/>
        <v>25680</v>
      </c>
      <c r="AJ55" s="147">
        <f t="shared" si="44"/>
        <v>12840</v>
      </c>
      <c r="AK55" s="146">
        <f t="shared" si="45"/>
        <v>12840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Self-employment -- see Data2</v>
      </c>
      <c r="B56" s="103">
        <f>IF([1]Summ!$H1091="",0,[1]Summ!$H1091)</f>
        <v>6840</v>
      </c>
      <c r="C56" s="103">
        <f>IF([1]Summ!$I1091="",0,[1]Summ!$I1091)</f>
        <v>1368</v>
      </c>
      <c r="D56" s="38">
        <f t="shared" si="33"/>
        <v>8208</v>
      </c>
      <c r="E56" s="75">
        <f>Poor!E56</f>
        <v>1</v>
      </c>
      <c r="F56" s="75">
        <f>Poor!F56</f>
        <v>1.1000000000000001</v>
      </c>
      <c r="G56" s="22">
        <f t="shared" si="41"/>
        <v>1.1200000000000001</v>
      </c>
      <c r="H56" s="24">
        <f t="shared" si="34"/>
        <v>1.1000000000000001</v>
      </c>
      <c r="I56" s="39">
        <f t="shared" si="35"/>
        <v>9028.8000000000011</v>
      </c>
      <c r="J56" s="38">
        <f t="shared" si="36"/>
        <v>7436.4627339809831</v>
      </c>
      <c r="K56" s="40">
        <f t="shared" si="37"/>
        <v>7.1151963913358013E-2</v>
      </c>
      <c r="L56" s="22">
        <f t="shared" si="38"/>
        <v>7.8267160304693814E-2</v>
      </c>
      <c r="M56" s="24">
        <f t="shared" si="39"/>
        <v>7.7356568434392772E-2</v>
      </c>
      <c r="N56" s="2"/>
      <c r="O56" s="2"/>
      <c r="P56" s="2"/>
      <c r="Q56" s="2"/>
      <c r="R56" s="2"/>
      <c r="S56" s="2"/>
      <c r="T56" s="2"/>
      <c r="U56" s="56"/>
      <c r="V56" s="56"/>
      <c r="W56" s="109"/>
      <c r="X56" s="117"/>
      <c r="Y56" s="109"/>
      <c r="Z56" s="155">
        <f>Poor!Z56</f>
        <v>0.25</v>
      </c>
      <c r="AA56" s="146">
        <f t="shared" si="46"/>
        <v>1859.1156834952458</v>
      </c>
      <c r="AB56" s="155">
        <f>Poor!AB56</f>
        <v>0.25</v>
      </c>
      <c r="AC56" s="146">
        <f t="shared" si="47"/>
        <v>1859.1156834952458</v>
      </c>
      <c r="AD56" s="155">
        <f>Poor!AD56</f>
        <v>0.25</v>
      </c>
      <c r="AE56" s="146">
        <f t="shared" si="48"/>
        <v>1859.1156834952458</v>
      </c>
      <c r="AF56" s="121">
        <f t="shared" si="40"/>
        <v>0.25</v>
      </c>
      <c r="AG56" s="146">
        <f t="shared" si="42"/>
        <v>1859.1156834952458</v>
      </c>
      <c r="AH56" s="122">
        <f t="shared" ref="AH56:AI61" si="49">SUM(Z56,AB56,AD56,AF56)</f>
        <v>1</v>
      </c>
      <c r="AI56" s="111">
        <f t="shared" si="49"/>
        <v>7436.4627339809831</v>
      </c>
      <c r="AJ56" s="147">
        <f t="shared" si="44"/>
        <v>3718.2313669904916</v>
      </c>
      <c r="AK56" s="146">
        <f t="shared" si="45"/>
        <v>3718.2313669904916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Small business -- see Data2</v>
      </c>
      <c r="B57" s="103">
        <f>IF([1]Summ!$H1092="",0,[1]Summ!$H1092)</f>
        <v>0</v>
      </c>
      <c r="C57" s="103">
        <f>IF([1]Summ!$I1092="",0,[1]Summ!$I1092)</f>
        <v>0</v>
      </c>
      <c r="D57" s="38">
        <f t="shared" si="33"/>
        <v>0</v>
      </c>
      <c r="E57" s="75">
        <f>Poor!E57</f>
        <v>1</v>
      </c>
      <c r="F57" s="75">
        <f>Poor!F57</f>
        <v>1.05</v>
      </c>
      <c r="G57" s="22">
        <f t="shared" si="41"/>
        <v>1.1200000000000001</v>
      </c>
      <c r="H57" s="24">
        <f t="shared" si="34"/>
        <v>1.05</v>
      </c>
      <c r="I57" s="39">
        <f t="shared" si="35"/>
        <v>0</v>
      </c>
      <c r="J57" s="38">
        <f t="shared" si="36"/>
        <v>0</v>
      </c>
      <c r="K57" s="40">
        <f t="shared" si="37"/>
        <v>0</v>
      </c>
      <c r="L57" s="22">
        <f t="shared" si="38"/>
        <v>0</v>
      </c>
      <c r="M57" s="24">
        <f t="shared" si="39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09"/>
      <c r="X57" s="117"/>
      <c r="Y57" s="109"/>
      <c r="Z57" s="155">
        <f>Poor!Z57</f>
        <v>0.25</v>
      </c>
      <c r="AA57" s="146">
        <f t="shared" si="46"/>
        <v>0</v>
      </c>
      <c r="AB57" s="155">
        <f>Poor!AB57</f>
        <v>0.25</v>
      </c>
      <c r="AC57" s="146">
        <f t="shared" si="47"/>
        <v>0</v>
      </c>
      <c r="AD57" s="155">
        <f>Poor!AD57</f>
        <v>0.25</v>
      </c>
      <c r="AE57" s="146">
        <f t="shared" si="48"/>
        <v>0</v>
      </c>
      <c r="AF57" s="121">
        <f t="shared" si="40"/>
        <v>0.25</v>
      </c>
      <c r="AG57" s="146">
        <f t="shared" si="42"/>
        <v>0</v>
      </c>
      <c r="AH57" s="122">
        <f t="shared" si="49"/>
        <v>1</v>
      </c>
      <c r="AI57" s="111">
        <f t="shared" si="49"/>
        <v>0</v>
      </c>
      <c r="AJ57" s="147">
        <f t="shared" si="44"/>
        <v>0</v>
      </c>
      <c r="AK57" s="146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Social Cash Transfers -- see Data2</v>
      </c>
      <c r="B58" s="103">
        <f>IF([1]Summ!$H1093="",0,[1]Summ!$H1093)</f>
        <v>7917.2727272727288</v>
      </c>
      <c r="C58" s="103">
        <f>IF([1]Summ!$I1093="",0,[1]Summ!$I1093)</f>
        <v>0</v>
      </c>
      <c r="D58" s="38">
        <f t="shared" si="33"/>
        <v>7917.2727272727288</v>
      </c>
      <c r="E58" s="75">
        <f>Poor!E58</f>
        <v>1</v>
      </c>
      <c r="F58" s="75">
        <f>Poor!F58</f>
        <v>1.1100000000000001</v>
      </c>
      <c r="G58" s="22">
        <f t="shared" si="41"/>
        <v>1.1200000000000001</v>
      </c>
      <c r="H58" s="24">
        <f t="shared" si="34"/>
        <v>1.1100000000000001</v>
      </c>
      <c r="I58" s="39">
        <f t="shared" si="35"/>
        <v>8788.1727272727294</v>
      </c>
      <c r="J58" s="38">
        <f t="shared" si="36"/>
        <v>8788.1727272727312</v>
      </c>
      <c r="K58" s="40">
        <f t="shared" si="37"/>
        <v>8.2358114529696311E-2</v>
      </c>
      <c r="L58" s="22">
        <f t="shared" si="38"/>
        <v>9.1417507127962913E-2</v>
      </c>
      <c r="M58" s="24">
        <f t="shared" si="39"/>
        <v>9.1417507127962927E-2</v>
      </c>
      <c r="N58" s="2"/>
      <c r="O58" s="2"/>
      <c r="P58" s="2"/>
      <c r="Q58" s="2"/>
      <c r="R58" s="2"/>
      <c r="S58" s="2"/>
      <c r="T58" s="2"/>
      <c r="U58" s="56"/>
      <c r="V58" s="56"/>
      <c r="W58" s="109"/>
      <c r="X58" s="117"/>
      <c r="Y58" s="109"/>
      <c r="Z58" s="155">
        <f>Poor!Z58</f>
        <v>0.25</v>
      </c>
      <c r="AA58" s="146">
        <f t="shared" si="46"/>
        <v>2197.0431818181828</v>
      </c>
      <c r="AB58" s="155">
        <f>Poor!AB58</f>
        <v>0.25</v>
      </c>
      <c r="AC58" s="146">
        <f t="shared" si="47"/>
        <v>2197.0431818181828</v>
      </c>
      <c r="AD58" s="155">
        <f>Poor!AD58</f>
        <v>0.25</v>
      </c>
      <c r="AE58" s="146">
        <f t="shared" si="48"/>
        <v>2197.0431818181828</v>
      </c>
      <c r="AF58" s="121">
        <f t="shared" si="40"/>
        <v>0.25</v>
      </c>
      <c r="AG58" s="146">
        <f t="shared" si="42"/>
        <v>2197.0431818181828</v>
      </c>
      <c r="AH58" s="122">
        <f t="shared" si="49"/>
        <v>1</v>
      </c>
      <c r="AI58" s="111">
        <f t="shared" si="49"/>
        <v>8788.1727272727312</v>
      </c>
      <c r="AJ58" s="147">
        <f t="shared" si="44"/>
        <v>4394.0863636363656</v>
      </c>
      <c r="AK58" s="146">
        <f t="shared" si="45"/>
        <v>4394.0863636363656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3">
        <f>IF([1]Summ!$H1094="",0,[1]Summ!$H1094)</f>
        <v>1200</v>
      </c>
      <c r="C59" s="103">
        <f>IF([1]Summ!$I1094="",0,[1]Summ!$I1094)</f>
        <v>0</v>
      </c>
      <c r="D59" s="38">
        <f t="shared" si="33"/>
        <v>1200</v>
      </c>
      <c r="E59" s="75">
        <f>Poor!E59</f>
        <v>1</v>
      </c>
      <c r="F59" s="75">
        <f>Poor!F59</f>
        <v>1.05</v>
      </c>
      <c r="G59" s="22">
        <f t="shared" si="41"/>
        <v>1.1200000000000001</v>
      </c>
      <c r="H59" s="24">
        <f t="shared" si="34"/>
        <v>1.05</v>
      </c>
      <c r="I59" s="39">
        <f t="shared" si="35"/>
        <v>1260</v>
      </c>
      <c r="J59" s="38">
        <f t="shared" si="36"/>
        <v>1260</v>
      </c>
      <c r="K59" s="40">
        <f t="shared" si="37"/>
        <v>1.2482800686554036E-2</v>
      </c>
      <c r="L59" s="22">
        <f t="shared" si="38"/>
        <v>1.3106940720881739E-2</v>
      </c>
      <c r="M59" s="24">
        <f t="shared" si="39"/>
        <v>1.3106940720881739E-2</v>
      </c>
      <c r="N59" s="2"/>
      <c r="O59" s="2"/>
      <c r="P59" s="2"/>
      <c r="Q59" s="2"/>
      <c r="R59" s="2"/>
      <c r="S59" s="2"/>
      <c r="T59" s="2"/>
      <c r="U59" s="56"/>
      <c r="V59" s="56"/>
      <c r="W59" s="109"/>
      <c r="X59" s="117"/>
      <c r="Y59" s="109"/>
      <c r="Z59" s="155">
        <f>Poor!Z59</f>
        <v>0.25</v>
      </c>
      <c r="AA59" s="146">
        <f t="shared" si="46"/>
        <v>315</v>
      </c>
      <c r="AB59" s="155">
        <f>Poor!AB59</f>
        <v>0.25</v>
      </c>
      <c r="AC59" s="146">
        <f t="shared" si="47"/>
        <v>315</v>
      </c>
      <c r="AD59" s="155">
        <f>Poor!AD59</f>
        <v>0.25</v>
      </c>
      <c r="AE59" s="146">
        <f t="shared" si="48"/>
        <v>315</v>
      </c>
      <c r="AF59" s="121">
        <f t="shared" si="40"/>
        <v>0.25</v>
      </c>
      <c r="AG59" s="146">
        <f t="shared" si="42"/>
        <v>315</v>
      </c>
      <c r="AH59" s="122">
        <f t="shared" si="49"/>
        <v>1</v>
      </c>
      <c r="AI59" s="111">
        <f t="shared" si="49"/>
        <v>1260</v>
      </c>
      <c r="AJ59" s="147">
        <f t="shared" si="44"/>
        <v>630</v>
      </c>
      <c r="AK59" s="146">
        <f t="shared" si="45"/>
        <v>630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3">
        <f>IF([1]Summ!$H1095="",0,[1]Summ!$H1095)</f>
        <v>0</v>
      </c>
      <c r="C60" s="103">
        <f>IF([1]Summ!$I1095="",0,[1]Summ!$I1095)</f>
        <v>0</v>
      </c>
      <c r="D60" s="38">
        <f t="shared" si="33"/>
        <v>0</v>
      </c>
      <c r="E60" s="75">
        <f>Poor!E60</f>
        <v>1</v>
      </c>
      <c r="F60" s="75">
        <f>Poor!F60</f>
        <v>1</v>
      </c>
      <c r="G60" s="22">
        <f t="shared" si="41"/>
        <v>1.1200000000000001</v>
      </c>
      <c r="H60" s="24">
        <f t="shared" si="34"/>
        <v>1</v>
      </c>
      <c r="I60" s="39">
        <f t="shared" si="35"/>
        <v>0</v>
      </c>
      <c r="J60" s="38">
        <f t="shared" si="36"/>
        <v>0</v>
      </c>
      <c r="K60" s="40">
        <f t="shared" si="37"/>
        <v>0</v>
      </c>
      <c r="L60" s="22">
        <f t="shared" si="38"/>
        <v>0</v>
      </c>
      <c r="M60" s="24">
        <f t="shared" si="39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09"/>
      <c r="X60" s="117"/>
      <c r="Y60" s="109"/>
      <c r="Z60" s="155">
        <f>Poor!Z60</f>
        <v>0.25</v>
      </c>
      <c r="AA60" s="146">
        <f t="shared" si="46"/>
        <v>0</v>
      </c>
      <c r="AB60" s="155">
        <f>Poor!AB60</f>
        <v>0.25</v>
      </c>
      <c r="AC60" s="146">
        <f t="shared" si="47"/>
        <v>0</v>
      </c>
      <c r="AD60" s="155">
        <f>Poor!AD60</f>
        <v>0.25</v>
      </c>
      <c r="AE60" s="146">
        <f t="shared" si="48"/>
        <v>0</v>
      </c>
      <c r="AF60" s="121">
        <f t="shared" si="40"/>
        <v>0.25</v>
      </c>
      <c r="AG60" s="146">
        <f t="shared" si="42"/>
        <v>0</v>
      </c>
      <c r="AH60" s="122">
        <f t="shared" si="49"/>
        <v>1</v>
      </c>
      <c r="AI60" s="111">
        <f t="shared" si="49"/>
        <v>0</v>
      </c>
      <c r="AJ60" s="147">
        <f t="shared" si="44"/>
        <v>0</v>
      </c>
      <c r="AK60" s="146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3">
        <f>IF([1]Summ!$H1096="",0,[1]Summ!$H1096)</f>
        <v>0</v>
      </c>
      <c r="C61" s="103">
        <f>IF([1]Summ!$I1096="",0,[1]Summ!$I1096)</f>
        <v>0</v>
      </c>
      <c r="D61" s="38">
        <f t="shared" si="33"/>
        <v>0</v>
      </c>
      <c r="E61" s="75">
        <f>Poor!E61</f>
        <v>1</v>
      </c>
      <c r="F61" s="75">
        <f>Poor!F61</f>
        <v>1</v>
      </c>
      <c r="G61" s="22">
        <f t="shared" si="41"/>
        <v>1.1200000000000001</v>
      </c>
      <c r="H61" s="24">
        <f t="shared" si="34"/>
        <v>1</v>
      </c>
      <c r="I61" s="39">
        <f t="shared" si="35"/>
        <v>0</v>
      </c>
      <c r="J61" s="38">
        <f t="shared" si="36"/>
        <v>0</v>
      </c>
      <c r="K61" s="40">
        <f t="shared" si="37"/>
        <v>0</v>
      </c>
      <c r="L61" s="22">
        <f t="shared" si="38"/>
        <v>0</v>
      </c>
      <c r="M61" s="24">
        <f t="shared" si="39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09"/>
      <c r="X61" s="117"/>
      <c r="Y61" s="109"/>
      <c r="Z61" s="155">
        <f>Poor!Z61</f>
        <v>0.25</v>
      </c>
      <c r="AA61" s="148">
        <f t="shared" si="46"/>
        <v>0</v>
      </c>
      <c r="AB61" s="155">
        <f>Poor!AB61</f>
        <v>0.25</v>
      </c>
      <c r="AC61" s="148">
        <f t="shared" si="47"/>
        <v>0</v>
      </c>
      <c r="AD61" s="155">
        <f>Poor!AD61</f>
        <v>0.25</v>
      </c>
      <c r="AE61" s="148">
        <f t="shared" si="48"/>
        <v>0</v>
      </c>
      <c r="AF61" s="149">
        <f t="shared" si="40"/>
        <v>0.25</v>
      </c>
      <c r="AG61" s="148">
        <f t="shared" si="42"/>
        <v>0</v>
      </c>
      <c r="AH61" s="122">
        <f t="shared" si="49"/>
        <v>1</v>
      </c>
      <c r="AI61" s="111">
        <f t="shared" si="49"/>
        <v>0</v>
      </c>
      <c r="AJ61" s="150">
        <f t="shared" si="44"/>
        <v>0</v>
      </c>
      <c r="AK61" s="148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39" t="s">
        <v>32</v>
      </c>
      <c r="B62" s="39">
        <f>SUM(B39:B61)</f>
        <v>96132.272727272735</v>
      </c>
      <c r="C62" s="39">
        <f>SUM(C39:C61)</f>
        <v>-957</v>
      </c>
      <c r="D62" s="42">
        <f>SUM(D39:D61)</f>
        <v>95175.272727272735</v>
      </c>
      <c r="E62" s="32"/>
      <c r="F62" s="32"/>
      <c r="G62" s="32"/>
      <c r="H62" s="31"/>
      <c r="I62" s="39">
        <f>SUM(I39:I61)</f>
        <v>102587.47272727273</v>
      </c>
      <c r="J62" s="39">
        <f>SUM(J39:J61)</f>
        <v>103267.82443194241</v>
      </c>
      <c r="K62" s="40">
        <f>SUM(K39:K61)</f>
        <v>0.99999999999999989</v>
      </c>
      <c r="L62" s="22">
        <f>SUM(L39:L61)</f>
        <v>1.0738373264110528</v>
      </c>
      <c r="M62" s="24">
        <f>SUM(M39:M61)</f>
        <v>1.0742263914316603</v>
      </c>
      <c r="N62" s="2"/>
      <c r="O62" s="2"/>
      <c r="P62" s="2"/>
      <c r="Q62" s="2"/>
      <c r="R62" s="2"/>
      <c r="S62" s="2"/>
      <c r="T62" s="2"/>
      <c r="U62" s="56"/>
      <c r="V62" s="56"/>
      <c r="W62" s="109"/>
      <c r="X62" s="151"/>
      <c r="Y62" s="109"/>
      <c r="Z62" s="136"/>
      <c r="AA62" s="152">
        <f>SUM(AA39:AA61)</f>
        <v>23148.549342070746</v>
      </c>
      <c r="AB62" s="136"/>
      <c r="AC62" s="152">
        <f>SUM(AC39:AC61)</f>
        <v>23058.869262794356</v>
      </c>
      <c r="AD62" s="136"/>
      <c r="AE62" s="152">
        <f>SUM(AE39:AE61)</f>
        <v>23238.229421347136</v>
      </c>
      <c r="AF62" s="136"/>
      <c r="AG62" s="152">
        <f>SUM(AG39:AG61)</f>
        <v>33822.176405730163</v>
      </c>
      <c r="AH62" s="136"/>
      <c r="AI62" s="152">
        <f>SUM(AI39:AI61)</f>
        <v>103267.82443194241</v>
      </c>
      <c r="AJ62" s="152">
        <f>SUM(AJ39:AJ61)</f>
        <v>46207.418604865103</v>
      </c>
      <c r="AK62" s="152">
        <f>SUM(AK39:AK61)</f>
        <v>57060.405827077302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3.5" customHeight="1">
      <c r="A63" s="78"/>
      <c r="B63" s="78"/>
      <c r="C63" s="78"/>
      <c r="D63" s="44"/>
      <c r="E63" s="14"/>
      <c r="F63" s="14"/>
      <c r="G63" s="14"/>
      <c r="H63" s="44"/>
      <c r="I63" s="14"/>
      <c r="J63" s="44"/>
      <c r="K63" s="45"/>
      <c r="L63" s="11"/>
      <c r="M63" s="10"/>
      <c r="N63" s="2"/>
      <c r="O63" s="2"/>
      <c r="P63" s="2"/>
      <c r="Q63" s="2"/>
      <c r="R63" s="2"/>
      <c r="S63" s="2"/>
      <c r="T63" s="2"/>
      <c r="U63" s="56"/>
      <c r="V63" s="56"/>
      <c r="W63" s="109"/>
      <c r="X63" s="117"/>
      <c r="Y63" s="109"/>
      <c r="Z63" s="142"/>
      <c r="AA63" s="153"/>
      <c r="AB63" s="142"/>
      <c r="AC63" s="153"/>
      <c r="AD63" s="142"/>
      <c r="AE63" s="153"/>
      <c r="AF63" s="142"/>
      <c r="AG63" s="153"/>
      <c r="AH63" s="142"/>
      <c r="AI63" s="153"/>
      <c r="AJ63" s="142"/>
      <c r="AK63" s="143"/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5.75" customHeight="1">
      <c r="A64" s="73" t="s">
        <v>48</v>
      </c>
      <c r="B64" s="39"/>
      <c r="C64" s="39"/>
      <c r="D64" s="38"/>
      <c r="E64" s="32"/>
      <c r="F64" s="32"/>
      <c r="G64" s="32"/>
      <c r="H64" s="31"/>
      <c r="I64" s="47"/>
      <c r="J64" s="48"/>
      <c r="K64" s="34" t="s">
        <v>34</v>
      </c>
      <c r="L64" s="2"/>
      <c r="M64" s="31"/>
      <c r="N64" s="2"/>
      <c r="O64" s="2"/>
      <c r="P64" s="2"/>
      <c r="Q64" s="2"/>
      <c r="R64" s="2"/>
      <c r="S64" s="2"/>
      <c r="T64" s="2"/>
      <c r="U64" s="56"/>
      <c r="V64" s="56"/>
      <c r="W64" s="109"/>
      <c r="X64" s="117"/>
      <c r="Y64" s="109"/>
      <c r="Z64" s="144"/>
      <c r="AA64" s="146"/>
      <c r="AB64" s="144"/>
      <c r="AC64" s="146"/>
      <c r="AD64" s="144"/>
      <c r="AE64" s="146"/>
      <c r="AF64" s="144"/>
      <c r="AG64" s="146"/>
      <c r="AH64" s="144"/>
      <c r="AI64" s="146"/>
      <c r="AJ64" s="144"/>
      <c r="AK64" s="145"/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79"/>
      <c r="B65" s="80" t="s">
        <v>7</v>
      </c>
      <c r="C65" s="39"/>
      <c r="D65" s="50"/>
      <c r="E65" s="19" t="s">
        <v>10</v>
      </c>
      <c r="F65" s="2" t="s">
        <v>28</v>
      </c>
      <c r="G65" s="2"/>
      <c r="H65" s="16" t="s">
        <v>12</v>
      </c>
      <c r="I65" s="19" t="s">
        <v>13</v>
      </c>
      <c r="J65" s="16" t="s">
        <v>14</v>
      </c>
      <c r="K65" s="37" t="s">
        <v>7</v>
      </c>
      <c r="L65" s="19" t="s">
        <v>15</v>
      </c>
      <c r="M65" s="16" t="s">
        <v>14</v>
      </c>
      <c r="N65" s="2"/>
      <c r="O65" s="2"/>
      <c r="P65" s="2"/>
      <c r="Q65" s="2"/>
      <c r="R65" s="2"/>
      <c r="S65" s="2"/>
      <c r="T65" s="2"/>
      <c r="U65" s="56"/>
      <c r="V65" s="56"/>
      <c r="W65" s="111"/>
      <c r="X65" s="117"/>
      <c r="Y65" s="109"/>
      <c r="Z65" s="144"/>
      <c r="AA65" s="146"/>
      <c r="AB65" s="144"/>
      <c r="AC65" s="146"/>
      <c r="AD65" s="144"/>
      <c r="AE65" s="146"/>
      <c r="AF65" s="144"/>
      <c r="AG65" s="146"/>
      <c r="AH65" s="144"/>
      <c r="AI65" s="146"/>
      <c r="AJ65" s="144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30</v>
      </c>
      <c r="B66" s="80" t="s">
        <v>35</v>
      </c>
      <c r="C66" s="39"/>
      <c r="D66" s="38"/>
      <c r="E66" s="19" t="s">
        <v>18</v>
      </c>
      <c r="F66" s="2" t="s">
        <v>31</v>
      </c>
      <c r="G66" s="2"/>
      <c r="H66" s="16" t="s">
        <v>18</v>
      </c>
      <c r="I66" s="19" t="s">
        <v>35</v>
      </c>
      <c r="J66" s="16" t="s">
        <v>35</v>
      </c>
      <c r="K66" s="37" t="s">
        <v>35</v>
      </c>
      <c r="L66" s="19" t="s">
        <v>19</v>
      </c>
      <c r="M66" s="16" t="s">
        <v>35</v>
      </c>
      <c r="N66" s="2"/>
      <c r="O66" s="2"/>
      <c r="P66" s="2"/>
      <c r="Q66" s="2"/>
      <c r="R66" s="2"/>
      <c r="S66" s="2"/>
      <c r="T66" s="2"/>
      <c r="U66" s="56"/>
      <c r="V66" s="56"/>
      <c r="W66" s="109"/>
      <c r="X66" s="117"/>
      <c r="Y66" s="109"/>
      <c r="Z66" s="144"/>
      <c r="AA66" s="146"/>
      <c r="AB66" s="144"/>
      <c r="AC66" s="146"/>
      <c r="AD66" s="144"/>
      <c r="AE66" s="146"/>
      <c r="AF66" s="144"/>
      <c r="AG66" s="146"/>
      <c r="AH66" s="144"/>
      <c r="AI66" s="146"/>
      <c r="AJ66" s="144"/>
      <c r="AK66" s="145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4" customHeight="1">
      <c r="A67" s="109" t="s">
        <v>131</v>
      </c>
      <c r="B67" s="103">
        <f>[1]Summ!$H1031</f>
        <v>22674.715190333613</v>
      </c>
      <c r="C67" s="39"/>
      <c r="D67" s="38"/>
      <c r="E67" s="75">
        <f>Poor!E67</f>
        <v>1</v>
      </c>
      <c r="F67" s="75">
        <f>Poor!F67</f>
        <v>1.1399999999999999</v>
      </c>
      <c r="G67" s="22"/>
      <c r="H67" s="24">
        <f>(E67*F67)</f>
        <v>1.1399999999999999</v>
      </c>
      <c r="I67" s="39">
        <f>I116*I$80</f>
        <v>25849.175316980312</v>
      </c>
      <c r="J67" s="51">
        <f>J116*I$80</f>
        <v>25849.175316980312</v>
      </c>
      <c r="K67" s="40">
        <f>B67/B$73</f>
        <v>0.23586995862109472</v>
      </c>
      <c r="L67" s="22">
        <f>(L116*G$39*F$9/F$7)/B$122</f>
        <v>0.268891752828048</v>
      </c>
      <c r="M67" s="24">
        <f>J67/B$73</f>
        <v>0.26889175282804789</v>
      </c>
      <c r="N67" s="2"/>
      <c r="O67" s="2"/>
      <c r="P67" s="2"/>
      <c r="Q67" s="2"/>
      <c r="R67" s="2"/>
      <c r="S67" s="2"/>
      <c r="T67" s="2"/>
      <c r="U67" s="56"/>
      <c r="V67" s="56"/>
      <c r="W67" s="109"/>
      <c r="X67" s="117"/>
      <c r="Y67" s="109"/>
      <c r="Z67" s="155">
        <f>Poor!Z67</f>
        <v>0.25</v>
      </c>
      <c r="AA67" s="146">
        <f>$J67*Z67</f>
        <v>6462.2938292450781</v>
      </c>
      <c r="AB67" s="155">
        <f>Poor!AB67</f>
        <v>0.25</v>
      </c>
      <c r="AC67" s="146">
        <f>$J67*AB67</f>
        <v>6462.2938292450781</v>
      </c>
      <c r="AD67" s="155">
        <f>Poor!AD67</f>
        <v>0.25</v>
      </c>
      <c r="AE67" s="146">
        <f>$J67*AD67</f>
        <v>6462.2938292450781</v>
      </c>
      <c r="AF67" s="155">
        <f>Poor!AF67</f>
        <v>0.25</v>
      </c>
      <c r="AG67" s="146">
        <f>$J67*AF67</f>
        <v>6462.2938292450781</v>
      </c>
      <c r="AH67" s="154">
        <f>SUM(Z67,AB67,AD67,AF67)</f>
        <v>1</v>
      </c>
      <c r="AI67" s="146">
        <f>SUM(AA67,AC67,AE67,AG67)</f>
        <v>25849.175316980312</v>
      </c>
      <c r="AJ67" s="147">
        <f>(AA67+AC67)</f>
        <v>12924.587658490156</v>
      </c>
      <c r="AK67" s="146">
        <f>(AE67+AG67)</f>
        <v>12924.587658490156</v>
      </c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109" t="s">
        <v>132</v>
      </c>
      <c r="B68" s="103">
        <f>[1]Summ!$H1032</f>
        <v>15031.333333333334</v>
      </c>
      <c r="C68" s="39"/>
      <c r="D68" s="38"/>
      <c r="E68" s="75">
        <f>Poor!E68</f>
        <v>1</v>
      </c>
      <c r="F68" s="75">
        <f>Poor!F68</f>
        <v>1.1100000000000001</v>
      </c>
      <c r="G68" s="22"/>
      <c r="H68" s="24">
        <f t="shared" ref="H68:H70" si="50">(E68*F68)</f>
        <v>1.1100000000000001</v>
      </c>
      <c r="I68" s="39">
        <f t="shared" ref="I68:I69" si="51">I117*I$80</f>
        <v>102587.47272727275</v>
      </c>
      <c r="J68" s="51">
        <f t="shared" ref="J68:J69" si="52">J117*I$80</f>
        <v>0</v>
      </c>
      <c r="K68" s="40">
        <f t="shared" ref="K68:K69" si="53">B68/B$73</f>
        <v>0.15636094837762993</v>
      </c>
      <c r="L68" s="22">
        <f t="shared" ref="L68:L69" si="54">(L117*G$39*F$9/F$7)/B$122</f>
        <v>0</v>
      </c>
      <c r="M68" s="24">
        <f t="shared" ref="M68:M69" si="55">J68/B$73</f>
        <v>0</v>
      </c>
      <c r="N68" s="2"/>
      <c r="O68" s="2"/>
      <c r="P68" s="2"/>
      <c r="Q68" s="2"/>
      <c r="R68" s="2"/>
      <c r="S68" s="2"/>
      <c r="T68" s="2"/>
      <c r="U68" s="56"/>
      <c r="V68" s="56"/>
      <c r="W68" s="109"/>
      <c r="X68" s="117"/>
      <c r="Y68" s="109"/>
      <c r="Z68" s="155"/>
      <c r="AA68" s="146"/>
      <c r="AB68" s="155"/>
      <c r="AC68" s="146"/>
      <c r="AD68" s="155"/>
      <c r="AE68" s="146"/>
      <c r="AF68" s="155"/>
      <c r="AG68" s="146"/>
      <c r="AH68" s="154"/>
      <c r="AI68" s="146"/>
      <c r="AJ68" s="147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109" t="s">
        <v>133</v>
      </c>
      <c r="B69" s="103">
        <f>[1]Summ!$H1033</f>
        <v>24276</v>
      </c>
      <c r="C69" s="39"/>
      <c r="D69" s="38"/>
      <c r="E69" s="75">
        <f>Poor!E69</f>
        <v>1</v>
      </c>
      <c r="F69" s="75">
        <f>Poor!F69</f>
        <v>1.1100000000000001</v>
      </c>
      <c r="G69" s="22"/>
      <c r="H69" s="24">
        <f t="shared" si="50"/>
        <v>1.1100000000000001</v>
      </c>
      <c r="I69" s="39">
        <f t="shared" si="51"/>
        <v>0</v>
      </c>
      <c r="J69" s="51">
        <f t="shared" si="52"/>
        <v>0</v>
      </c>
      <c r="K69" s="40">
        <f t="shared" si="53"/>
        <v>0.25252705788898816</v>
      </c>
      <c r="L69" s="22">
        <f t="shared" si="54"/>
        <v>0</v>
      </c>
      <c r="M69" s="24">
        <f t="shared" si="55"/>
        <v>0</v>
      </c>
      <c r="N69" s="2"/>
      <c r="O69" s="2"/>
      <c r="P69" s="2"/>
      <c r="Q69" s="2"/>
      <c r="R69" s="2"/>
      <c r="S69" s="2"/>
      <c r="T69" s="2"/>
      <c r="U69" s="56"/>
      <c r="V69" s="56"/>
      <c r="W69" s="109"/>
      <c r="X69" s="117"/>
      <c r="Y69" s="109"/>
      <c r="Z69" s="155"/>
      <c r="AA69" s="146"/>
      <c r="AB69" s="155"/>
      <c r="AC69" s="146"/>
      <c r="AD69" s="155"/>
      <c r="AE69" s="146"/>
      <c r="AF69" s="155"/>
      <c r="AG69" s="146"/>
      <c r="AH69" s="154"/>
      <c r="AI69" s="146"/>
      <c r="AJ69" s="147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3.5" customHeight="1">
      <c r="A70" s="109" t="s">
        <v>134</v>
      </c>
      <c r="B70" s="103">
        <f>[1]Summ!$H1034</f>
        <v>40270</v>
      </c>
      <c r="C70" s="39"/>
      <c r="D70" s="38"/>
      <c r="E70" s="75">
        <f>Poor!E70</f>
        <v>1</v>
      </c>
      <c r="F70" s="75">
        <f>Poor!F70</f>
        <v>1.1100000000000001</v>
      </c>
      <c r="G70" s="22"/>
      <c r="H70" s="24">
        <f t="shared" si="50"/>
        <v>1.1100000000000001</v>
      </c>
      <c r="I70" s="39">
        <f>I119*I$80</f>
        <v>44699.700000000004</v>
      </c>
      <c r="J70" s="51">
        <f>J119*I$80</f>
        <v>44699.700000000004</v>
      </c>
      <c r="K70" s="40">
        <f>B70/B$73</f>
        <v>0.41890198637294257</v>
      </c>
      <c r="L70" s="22">
        <f>(L119*G$39*F$9/F$7)/B$122</f>
        <v>0.44127737614863149</v>
      </c>
      <c r="M70" s="24">
        <f>J70/B$73</f>
        <v>0.46498120487396627</v>
      </c>
      <c r="O70" s="2"/>
      <c r="P70" s="2"/>
      <c r="Q70" s="2"/>
      <c r="R70" s="2"/>
      <c r="S70" s="2"/>
      <c r="T70" s="2"/>
      <c r="U70" s="56"/>
      <c r="V70" s="56"/>
      <c r="W70" s="109"/>
      <c r="X70" s="117"/>
      <c r="Y70" s="109"/>
      <c r="Z70" s="155">
        <f>Poor!Z70</f>
        <v>0.09</v>
      </c>
      <c r="AA70" s="146">
        <f>$H$70*$B$70*Z70</f>
        <v>4022.9730000000004</v>
      </c>
      <c r="AB70" s="155">
        <f>Poor!AB70</f>
        <v>0.09</v>
      </c>
      <c r="AC70" s="146">
        <f>$H$70*$B$70*AB70</f>
        <v>4022.9730000000004</v>
      </c>
      <c r="AD70" s="155">
        <f>Poor!AD70</f>
        <v>0.23</v>
      </c>
      <c r="AE70" s="146">
        <f>$H$70*$B$70*AD70</f>
        <v>10280.931000000002</v>
      </c>
      <c r="AF70" s="155">
        <f>Poor!AF70</f>
        <v>0.59</v>
      </c>
      <c r="AG70" s="146">
        <f>$H$70*$B$70*AF70</f>
        <v>26372.823</v>
      </c>
      <c r="AH70" s="154">
        <f>SUM(Z70,AB70,AD70,AF70)</f>
        <v>1</v>
      </c>
      <c r="AI70" s="146">
        <f>SUM(AA70,AC70,AE70,AG70)</f>
        <v>44699.700000000004</v>
      </c>
      <c r="AJ70" s="147">
        <f>(AA70+AC70)</f>
        <v>8045.9460000000008</v>
      </c>
      <c r="AK70" s="146">
        <f>(AE70+AG70)</f>
        <v>36653.754000000001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" t="s">
        <v>135</v>
      </c>
      <c r="B71" s="81">
        <f>B120*B80</f>
        <v>3840.0000000000005</v>
      </c>
      <c r="C71" s="39"/>
      <c r="D71" s="38"/>
      <c r="E71" s="32"/>
      <c r="F71" s="32"/>
      <c r="G71" s="32"/>
      <c r="H71" s="31"/>
      <c r="I71" s="39">
        <f>I120*I$80</f>
        <v>76738.297410292435</v>
      </c>
      <c r="J71" s="51">
        <f>J120*I$80</f>
        <v>4588.9671876095399</v>
      </c>
      <c r="K71" s="40">
        <f>B71/B$73</f>
        <v>3.9944962196972925E-2</v>
      </c>
      <c r="L71" s="22">
        <f>(L120*G$39*F$9/F$7)/B$122</f>
        <v>4.2078597576626395E-2</v>
      </c>
      <c r="M71" s="24">
        <f>J71/B$73</f>
        <v>4.7735968966721928E-2</v>
      </c>
      <c r="O71" s="2"/>
      <c r="P71" s="2"/>
      <c r="Q71" s="2"/>
      <c r="R71" s="2"/>
      <c r="S71" s="2"/>
      <c r="T71" s="2"/>
      <c r="U71" s="56"/>
      <c r="V71" s="56"/>
      <c r="W71" s="109"/>
      <c r="X71" s="117"/>
      <c r="Y71" s="109"/>
      <c r="Z71" s="155"/>
      <c r="AA71" s="146">
        <f>AA32*$I$80/4</f>
        <v>-2503.4039149873311</v>
      </c>
      <c r="AB71" s="155"/>
      <c r="AC71" s="146">
        <f>AC32*$I$80/4</f>
        <v>-2577.1783583214628</v>
      </c>
      <c r="AD71" s="155"/>
      <c r="AE71" s="146">
        <f>AE32*$I$80/4</f>
        <v>-2586.5061594116523</v>
      </c>
      <c r="AF71" s="155"/>
      <c r="AG71" s="146">
        <f>AG32*$I$80/4</f>
        <v>7672.5021246447832</v>
      </c>
      <c r="AH71" s="154"/>
      <c r="AI71" s="146">
        <f>SUM(AA71,AC71,AE71,AG71)</f>
        <v>5.4136919243373995</v>
      </c>
      <c r="AJ71" s="147">
        <f>(AA71+AC71)</f>
        <v>-5080.5822733087934</v>
      </c>
      <c r="AK71" s="146">
        <f>(AE71+AG71)</f>
        <v>5085.9959652331308</v>
      </c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" t="s">
        <v>55</v>
      </c>
      <c r="B72" s="81">
        <f>B121*B80</f>
        <v>29347.557536939101</v>
      </c>
      <c r="C72" s="39"/>
      <c r="D72" s="38"/>
      <c r="E72" s="32"/>
      <c r="F72" s="32"/>
      <c r="G72" s="32"/>
      <c r="H72" s="31"/>
      <c r="I72" s="47"/>
      <c r="J72" s="51">
        <f>J121*I$80</f>
        <v>28129.981927352557</v>
      </c>
      <c r="K72" s="40">
        <f>B72/B$73</f>
        <v>0.30528309280898958</v>
      </c>
      <c r="L72" s="22">
        <f>(L121*G$39*F$9/F$7)/B$122</f>
        <v>0.32158959985774721</v>
      </c>
      <c r="M72" s="24">
        <f>J72/B$73</f>
        <v>0.29261746476292427</v>
      </c>
      <c r="O72" s="2"/>
      <c r="P72" s="2"/>
      <c r="Q72" s="2"/>
      <c r="R72" s="2"/>
      <c r="S72" s="2"/>
      <c r="T72" s="2"/>
      <c r="U72" s="56"/>
      <c r="V72" s="56"/>
      <c r="W72" s="109"/>
      <c r="X72" s="156"/>
      <c r="Y72" s="160" t="s">
        <v>104</v>
      </c>
      <c r="Z72" s="157"/>
      <c r="AA72" s="148">
        <f>AA76-AA71</f>
        <v>19189.659427813</v>
      </c>
      <c r="AB72" s="157"/>
      <c r="AC72" s="148">
        <f>AA72+AC62-SUM(AC67,AC71)</f>
        <v>38363.413219683745</v>
      </c>
      <c r="AD72" s="157"/>
      <c r="AE72" s="148">
        <f>AC72+AE62-SUM(AE67,AE71)</f>
        <v>57725.854971197448</v>
      </c>
      <c r="AF72" s="157"/>
      <c r="AG72" s="148">
        <f>IF(SUM(AG6:AG31)+((AG62-AG67-$J$72)*4/I$80)&lt;1,0,AG62-AG67-$J$72-(1-SUM(AG6:AG31))*I$80/4)</f>
        <v>0</v>
      </c>
      <c r="AH72" s="133"/>
      <c r="AI72" s="148">
        <f>AI73-SUM(AI67,AI71)</f>
        <v>77413.235423037753</v>
      </c>
      <c r="AJ72" s="150">
        <f>AJ73-SUM(AJ67,AJ71)</f>
        <v>38363.413219683738</v>
      </c>
      <c r="AK72" s="148">
        <f>AJ72+AK73-SUM(AK67,AK71)</f>
        <v>77413.235423037739</v>
      </c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4" customHeight="1" thickBot="1">
      <c r="A73" s="1" t="s">
        <v>32</v>
      </c>
      <c r="B73" s="81">
        <f>B62</f>
        <v>96132.272727272735</v>
      </c>
      <c r="C73" s="39"/>
      <c r="D73" s="38"/>
      <c r="E73" s="32"/>
      <c r="F73" s="32"/>
      <c r="G73" s="32"/>
      <c r="H73" s="31"/>
      <c r="I73" s="39">
        <f>I122*I$80</f>
        <v>102587.47272727275</v>
      </c>
      <c r="J73" s="51">
        <f>J122*I$80</f>
        <v>103267.82443194241</v>
      </c>
      <c r="K73" s="40">
        <f>SUM(K67:K72)</f>
        <v>1.408888006266618</v>
      </c>
      <c r="L73" s="22">
        <f>SUM(L67:L72)</f>
        <v>1.073837326411053</v>
      </c>
      <c r="M73" s="24">
        <f>SUM(M67:M72)</f>
        <v>1.0742263914316603</v>
      </c>
      <c r="O73" s="2"/>
      <c r="P73" s="2"/>
      <c r="Q73" s="2"/>
      <c r="R73" s="2"/>
      <c r="S73" s="2"/>
      <c r="T73" s="2"/>
      <c r="U73" s="56"/>
      <c r="V73" s="56"/>
      <c r="W73" s="109"/>
      <c r="X73" s="189"/>
      <c r="Y73" s="189"/>
      <c r="Z73" s="136"/>
      <c r="AA73" s="153">
        <f>AA62</f>
        <v>23148.549342070746</v>
      </c>
      <c r="AB73" s="136"/>
      <c r="AC73" s="152">
        <f>AC62</f>
        <v>23058.869262794356</v>
      </c>
      <c r="AD73" s="136"/>
      <c r="AE73" s="152">
        <f>AE62</f>
        <v>23238.229421347136</v>
      </c>
      <c r="AF73" s="136"/>
      <c r="AG73" s="152">
        <f>AG62</f>
        <v>33822.176405730163</v>
      </c>
      <c r="AH73" s="136"/>
      <c r="AI73" s="152">
        <f>SUM(AA73,AC73,AE73,AG73)</f>
        <v>103267.8244319424</v>
      </c>
      <c r="AJ73" s="153">
        <f>SUM(AA73,AC73)</f>
        <v>46207.418604865103</v>
      </c>
      <c r="AK73" s="153">
        <f>SUM(AE73,AG73)</f>
        <v>57060.405827077295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 thickBot="1">
      <c r="A74" s="98" t="s">
        <v>36</v>
      </c>
      <c r="B74" s="81"/>
      <c r="C74" s="39"/>
      <c r="D74" s="38"/>
      <c r="E74" s="32"/>
      <c r="F74" s="32"/>
      <c r="G74" s="32"/>
      <c r="H74" s="31"/>
      <c r="I74" s="39">
        <f>I123*I$80</f>
        <v>44699.7</v>
      </c>
      <c r="J74" s="99">
        <f>J123*I$80</f>
        <v>0</v>
      </c>
      <c r="K74" s="40"/>
      <c r="L74" s="22">
        <f>-(L123*G$39*F$9/F$7)/B$122</f>
        <v>-2.3703828725334778E-2</v>
      </c>
      <c r="M74" s="24">
        <f>-J74/B$73</f>
        <v>0</v>
      </c>
      <c r="O74" s="2"/>
      <c r="P74" s="2"/>
      <c r="Q74" s="2"/>
      <c r="R74" s="2"/>
      <c r="S74" s="2"/>
      <c r="T74" s="2"/>
      <c r="U74" s="56"/>
      <c r="V74" s="56"/>
      <c r="W74" s="109"/>
      <c r="X74" s="109"/>
      <c r="Y74" s="160" t="s">
        <v>102</v>
      </c>
      <c r="Z74" s="158"/>
      <c r="AA74" s="110">
        <f>AA33*$I$80/4</f>
        <v>0</v>
      </c>
      <c r="AB74" s="111"/>
      <c r="AC74" s="110">
        <f>AC33*$I$80/4</f>
        <v>0</v>
      </c>
      <c r="AD74" s="111"/>
      <c r="AE74" s="110">
        <f>AE33*$I$80/4</f>
        <v>0</v>
      </c>
      <c r="AF74" s="111"/>
      <c r="AG74" s="110">
        <f>AG33*$I$80/4</f>
        <v>0</v>
      </c>
      <c r="AH74" s="109"/>
      <c r="AI74" s="153">
        <f>SUM(AA74,AC74,AE74,AG74)</f>
        <v>0</v>
      </c>
      <c r="AJ74" s="152">
        <f>SUM(AA74,AC74)</f>
        <v>0</v>
      </c>
      <c r="AK74" s="159">
        <f>SUM(AE74,AG74)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82" t="s">
        <v>37</v>
      </c>
      <c r="B75" s="39"/>
      <c r="C75" s="39"/>
      <c r="D75" s="38"/>
      <c r="E75" s="32"/>
      <c r="F75" s="32"/>
      <c r="G75" s="32"/>
      <c r="H75" s="31"/>
      <c r="I75" s="47"/>
      <c r="J75" s="48"/>
      <c r="K75" s="32"/>
      <c r="L75" s="32"/>
      <c r="M75" s="48"/>
      <c r="N75" s="2"/>
      <c r="O75" s="2"/>
      <c r="P75" s="2"/>
      <c r="Q75" s="2"/>
      <c r="R75" s="2"/>
      <c r="S75" s="2"/>
      <c r="T75" s="2"/>
      <c r="U75" s="56"/>
      <c r="V75" s="56"/>
      <c r="W75" s="109"/>
      <c r="X75" s="109"/>
      <c r="Y75" s="160" t="s">
        <v>103</v>
      </c>
      <c r="Z75" s="109"/>
      <c r="AA75" s="111">
        <f>IF(SUM(AG6:AG31)+((AG62-AG67-$J$72)*4/I$80)&lt;1,0,AG62-AG67-$J$72-(1-SUM(AG6:AG31))*I$80/4)</f>
        <v>0</v>
      </c>
      <c r="AB75" s="111"/>
      <c r="AC75" s="111">
        <f>IF(AA72&lt;0,0,AA72)</f>
        <v>19189.659427813</v>
      </c>
      <c r="AD75" s="111"/>
      <c r="AE75" s="111">
        <f>AC72</f>
        <v>38363.413219683745</v>
      </c>
      <c r="AF75" s="111"/>
      <c r="AG75" s="111">
        <f>AE72</f>
        <v>57725.854971197448</v>
      </c>
      <c r="AH75" s="109"/>
      <c r="AI75" s="145"/>
      <c r="AJ75" s="109"/>
      <c r="AK75" s="145"/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>
      <c r="A76" s="39" t="s">
        <v>38</v>
      </c>
      <c r="B76" s="233" t="str">
        <f>[1]Summ!$H1037</f>
        <v>maize</v>
      </c>
      <c r="C76" s="39"/>
      <c r="D76" s="38"/>
      <c r="E76" s="32"/>
      <c r="F76" s="32"/>
      <c r="G76" s="32"/>
      <c r="H76" s="31"/>
      <c r="I76" s="47"/>
      <c r="J76" s="48"/>
      <c r="K76" s="32"/>
      <c r="L76" s="32"/>
      <c r="M76" s="48"/>
      <c r="N76" s="32"/>
      <c r="O76" s="2"/>
      <c r="P76" s="2"/>
      <c r="Q76" s="2"/>
      <c r="R76" s="2"/>
      <c r="S76" s="2"/>
      <c r="T76" s="2"/>
      <c r="U76" s="56"/>
      <c r="V76" s="56"/>
      <c r="W76" s="109"/>
      <c r="X76" s="109"/>
      <c r="Y76" s="160" t="s">
        <v>63</v>
      </c>
      <c r="Z76" s="109"/>
      <c r="AA76" s="111">
        <f>AA62-AA67+IF(SUM(AG6:AG31)+((AG62-AG67-$J$72)*4/I$80)&lt;1,0,AG62-AG67-$J$72-(1-SUM(AG6:AG31))*I$80/4)</f>
        <v>16686.255512825668</v>
      </c>
      <c r="AB76" s="111"/>
      <c r="AC76" s="111">
        <f>AA76-AA71+AC62-AC67</f>
        <v>35786.234861362282</v>
      </c>
      <c r="AD76" s="111"/>
      <c r="AE76" s="111">
        <f>AC76-AC71+AE62-AE67</f>
        <v>55139.3488117858</v>
      </c>
      <c r="AF76" s="111"/>
      <c r="AG76" s="111">
        <f>AE76-AE71+AG62-AG67</f>
        <v>85085.73754768254</v>
      </c>
      <c r="AH76" s="109"/>
      <c r="AI76" s="145"/>
      <c r="AJ76" s="109"/>
      <c r="AK76" s="145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39" t="s">
        <v>39</v>
      </c>
      <c r="B77" s="104">
        <f>[1]Summ!$H1038</f>
        <v>0.58061985920496251</v>
      </c>
      <c r="C77" s="39"/>
      <c r="D77" s="38"/>
      <c r="E77" s="32"/>
      <c r="F77" s="32"/>
      <c r="G77" s="32"/>
      <c r="H77" s="31"/>
      <c r="I77" s="47"/>
      <c r="J77" s="48"/>
      <c r="K77" s="32"/>
      <c r="L77" s="32"/>
      <c r="M77" s="48"/>
      <c r="N77" s="32"/>
      <c r="O77" s="2"/>
      <c r="P77" s="2"/>
      <c r="Q77" s="2"/>
      <c r="R77" s="2"/>
      <c r="S77" s="2"/>
      <c r="T77" s="2"/>
      <c r="U77" s="56"/>
      <c r="V77" s="56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45"/>
      <c r="AJ77" s="109"/>
      <c r="AK77" s="145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39" t="s">
        <v>40</v>
      </c>
      <c r="B78" s="233">
        <f>[1]Summ!$H1039</f>
        <v>7</v>
      </c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32"/>
      <c r="O78" s="2"/>
      <c r="P78" s="2"/>
      <c r="Q78" s="2"/>
      <c r="R78" s="2"/>
      <c r="S78" s="2"/>
      <c r="T78" s="2"/>
      <c r="U78" s="56"/>
      <c r="V78" s="56"/>
      <c r="W78" s="109"/>
      <c r="X78" s="109"/>
      <c r="Y78" s="109"/>
      <c r="Z78" s="142" t="s">
        <v>64</v>
      </c>
      <c r="AA78" s="158"/>
      <c r="AB78" s="158"/>
      <c r="AC78" s="158"/>
      <c r="AD78" s="158"/>
      <c r="AE78" s="158"/>
      <c r="AF78" s="158"/>
      <c r="AG78" s="143"/>
      <c r="AH78" s="113" t="s">
        <v>65</v>
      </c>
      <c r="AI78" s="145"/>
      <c r="AJ78" s="109"/>
      <c r="AK78" s="145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39" t="s">
        <v>41</v>
      </c>
      <c r="B79" s="104">
        <f>[1]Summ!$H1040</f>
        <v>4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X79" s="109"/>
      <c r="Y79" s="160" t="s">
        <v>66</v>
      </c>
      <c r="Z79" s="161">
        <f>IF($AH$79=0,0,AA79/$AH$79)</f>
        <v>1</v>
      </c>
      <c r="AA79" s="193">
        <f>Poor!AA79</f>
        <v>4.4800000000000004</v>
      </c>
      <c r="AB79" s="161">
        <f>IF($AH$79=0,0,AC79/$AH$79)</f>
        <v>1</v>
      </c>
      <c r="AC79" s="193">
        <f>Poor!AC79</f>
        <v>4.4800000000000004</v>
      </c>
      <c r="AD79" s="161">
        <f>IF($AH$79=0,0,AE79/$AH$79)</f>
        <v>1</v>
      </c>
      <c r="AE79" s="193">
        <f>Poor!AE79</f>
        <v>4.4800000000000004</v>
      </c>
      <c r="AF79" s="161">
        <f>IF($AH$79=0,0,AG79/$AH$79)</f>
        <v>1</v>
      </c>
      <c r="AG79" s="193">
        <f>Poor!AG79</f>
        <v>4.4800000000000004</v>
      </c>
      <c r="AH79" s="163">
        <f>IF(PRODUCT(AA79,AC79,AE79,AG79)=0,0,SUM(AA79,AC79,AE79,AG79)/4)</f>
        <v>4.4800000000000004</v>
      </c>
      <c r="AI79" s="145"/>
      <c r="AJ79" s="109"/>
      <c r="AK79" s="145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42</v>
      </c>
      <c r="B80" s="39">
        <f>365*B77*B78*B79</f>
        <v>5933.9349610747167</v>
      </c>
      <c r="C80" s="39"/>
      <c r="D80" s="38"/>
      <c r="E80" s="32"/>
      <c r="F80" s="32"/>
      <c r="G80" s="32"/>
      <c r="H80" s="24">
        <f>G$39*F$9/F$7</f>
        <v>1.1200000000000001</v>
      </c>
      <c r="I80" s="39">
        <f xml:space="preserve"> B80*H80</f>
        <v>6646.0071564036834</v>
      </c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X80" s="109"/>
      <c r="Y80" s="160" t="s">
        <v>130</v>
      </c>
      <c r="Z80" s="109"/>
      <c r="AA80" s="164">
        <f>$I$80*Z79/4</f>
        <v>1661.5017891009209</v>
      </c>
      <c r="AB80" s="111"/>
      <c r="AC80" s="164">
        <f>$I$80*AB79/4</f>
        <v>1661.5017891009209</v>
      </c>
      <c r="AD80" s="111"/>
      <c r="AE80" s="164">
        <f>$I$80*AD79/4</f>
        <v>1661.5017891009209</v>
      </c>
      <c r="AF80" s="111"/>
      <c r="AG80" s="164">
        <f>$I$80*AF79/4</f>
        <v>1661.5017891009209</v>
      </c>
      <c r="AH80" s="164">
        <f>SUM(AA80,AC80,AE80,AG80)</f>
        <v>6646.0071564036834</v>
      </c>
      <c r="AI80" s="145"/>
      <c r="AJ80" s="109"/>
      <c r="AK80" s="145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 thickBot="1">
      <c r="A81" s="46" t="s">
        <v>140</v>
      </c>
      <c r="B81" s="238">
        <f>B67+((1-D31)*B80)</f>
        <v>26355.942425974536</v>
      </c>
      <c r="C81" s="46"/>
      <c r="D81" s="239"/>
      <c r="E81" s="64"/>
      <c r="F81" s="64"/>
      <c r="G81" s="64"/>
      <c r="H81" s="240">
        <f>IF(B81=0,0,I81/B81)</f>
        <v>1.136249237851565</v>
      </c>
      <c r="I81" s="238">
        <f>(B67*H67)+((1-(D31*H31))*I80)</f>
        <v>29946.919494373295</v>
      </c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X81" s="109"/>
      <c r="Y81" s="160"/>
      <c r="Z81" s="109"/>
      <c r="AA81" s="109"/>
      <c r="AB81" s="109"/>
      <c r="AC81" s="109"/>
      <c r="AD81" s="109"/>
      <c r="AE81" s="109"/>
      <c r="AF81" s="109"/>
      <c r="AG81" s="109"/>
      <c r="AH81" s="109"/>
      <c r="AI81" s="145"/>
      <c r="AJ81" s="109"/>
      <c r="AK81" s="145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 thickBot="1">
      <c r="A82" s="39" t="s">
        <v>43</v>
      </c>
      <c r="B82" s="39"/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09"/>
      <c r="Y82" s="160"/>
      <c r="Z82" s="109"/>
      <c r="AA82" s="112"/>
      <c r="AB82" s="109"/>
      <c r="AC82" s="112"/>
      <c r="AD82" s="109"/>
      <c r="AE82" s="112"/>
      <c r="AF82" s="109"/>
      <c r="AG82" s="112"/>
      <c r="AH82" s="109"/>
      <c r="AI82" s="190"/>
      <c r="AJ82" s="191"/>
      <c r="AK82" s="19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105"/>
      <c r="B83" s="106"/>
      <c r="C83" s="39"/>
      <c r="D83" s="38"/>
      <c r="E83" s="32"/>
      <c r="F83" s="32"/>
      <c r="G83" s="32"/>
      <c r="H83" s="31"/>
      <c r="I83" s="47"/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39" t="s">
        <v>123</v>
      </c>
      <c r="B84" s="75">
        <f>[1]Summ!$J$892</f>
        <v>0</v>
      </c>
      <c r="C84" s="14"/>
      <c r="D84" s="12"/>
      <c r="E84" s="14"/>
      <c r="F84" s="14"/>
      <c r="G84" s="14"/>
      <c r="H84" s="12"/>
      <c r="I84" s="14"/>
      <c r="J84" s="12"/>
      <c r="K84" s="14"/>
      <c r="L84" s="14"/>
      <c r="M84" s="10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5.75" customHeight="1">
      <c r="A85" s="73" t="str">
        <f>A36</f>
        <v>Income : Middle HHs</v>
      </c>
      <c r="B85" s="2"/>
      <c r="C85" s="2"/>
      <c r="D85" s="31"/>
      <c r="E85" s="2"/>
      <c r="F85" s="2"/>
      <c r="G85" s="2"/>
      <c r="H85" s="17"/>
      <c r="I85" s="2"/>
      <c r="J85" s="33"/>
      <c r="M85" s="57"/>
      <c r="N85" s="58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/>
      <c r="B86" s="19" t="s">
        <v>7</v>
      </c>
      <c r="C86" s="19" t="s">
        <v>8</v>
      </c>
      <c r="D86" s="16" t="s">
        <v>9</v>
      </c>
      <c r="H86" s="16" t="s">
        <v>12</v>
      </c>
      <c r="I86" s="19" t="s">
        <v>13</v>
      </c>
      <c r="J86" s="16" t="s">
        <v>14</v>
      </c>
      <c r="K86" s="19" t="s">
        <v>7</v>
      </c>
      <c r="L86" s="19" t="s">
        <v>15</v>
      </c>
      <c r="M86" s="57" t="str">
        <f t="shared" ref="M86:M111" si="56">(J86)</f>
        <v>Curr.</v>
      </c>
      <c r="N86" s="5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">
        <v>44</v>
      </c>
      <c r="B87" s="19" t="s">
        <v>16</v>
      </c>
      <c r="C87" s="19" t="s">
        <v>17</v>
      </c>
      <c r="D87" s="16" t="s">
        <v>16</v>
      </c>
      <c r="H87" s="16" t="s">
        <v>18</v>
      </c>
      <c r="I87" s="19" t="s">
        <v>16</v>
      </c>
      <c r="J87" s="16" t="s">
        <v>16</v>
      </c>
      <c r="K87" s="19" t="s">
        <v>16</v>
      </c>
      <c r="L87" s="19" t="s">
        <v>19</v>
      </c>
      <c r="M87" s="57" t="str">
        <f t="shared" si="56"/>
        <v>Access</v>
      </c>
      <c r="N87" s="5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ref="A88:A110" si="57">IF(A39="","",A39)</f>
        <v>Pig sales: no sold</v>
      </c>
      <c r="B88" s="75">
        <f t="shared" ref="B88:C110" si="58">(B39/$B$80)</f>
        <v>0.47186226650062268</v>
      </c>
      <c r="C88" s="75">
        <f t="shared" si="58"/>
        <v>0</v>
      </c>
      <c r="D88" s="24">
        <f t="shared" ref="D88:D110" si="59">(B88+C88)</f>
        <v>0.47186226650062268</v>
      </c>
      <c r="H88" s="24">
        <f t="shared" ref="H88:H110" si="60">(E39*F39/G39*F$7/F$9)</f>
        <v>0.9196428571428571</v>
      </c>
      <c r="I88" s="22">
        <f t="shared" ref="I88:I110" si="61">(D88*H88)</f>
        <v>0.43394476294253692</v>
      </c>
      <c r="J88" s="24">
        <f t="shared" ref="J88:J109" si="62">IF(I$34&lt;=1+I$123,I88,L88+J$35*(I88-L88))</f>
        <v>0.43394476294253692</v>
      </c>
      <c r="K88" s="22">
        <f t="shared" ref="K88:K110" si="63">(B88)</f>
        <v>0.47186226650062268</v>
      </c>
      <c r="L88" s="22">
        <f t="shared" ref="L88:L110" si="64">(K88*H88)</f>
        <v>0.43394476294253692</v>
      </c>
      <c r="M88" s="230">
        <f t="shared" si="56"/>
        <v>0.43394476294253692</v>
      </c>
      <c r="N88" s="232">
        <v>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57"/>
        <v>Cattle sales - local: no. sold</v>
      </c>
      <c r="B89" s="75">
        <f t="shared" si="58"/>
        <v>0.84261119017968333</v>
      </c>
      <c r="C89" s="75">
        <f t="shared" si="58"/>
        <v>0.42130559508984167</v>
      </c>
      <c r="D89" s="24">
        <f t="shared" si="59"/>
        <v>1.263916785269525</v>
      </c>
      <c r="H89" s="24">
        <f t="shared" si="60"/>
        <v>0.99107142857142871</v>
      </c>
      <c r="I89" s="22">
        <f t="shared" si="61"/>
        <v>1.2526318139724759</v>
      </c>
      <c r="J89" s="24">
        <f t="shared" si="62"/>
        <v>0.81079849880559318</v>
      </c>
      <c r="K89" s="22">
        <f t="shared" si="63"/>
        <v>0.84261119017968333</v>
      </c>
      <c r="L89" s="22">
        <f t="shared" si="64"/>
        <v>0.83508787598165057</v>
      </c>
      <c r="M89" s="230">
        <f t="shared" si="56"/>
        <v>0.81079849880559318</v>
      </c>
      <c r="N89" s="232">
        <v>5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57"/>
        <v>Goat sales - local: no. sold</v>
      </c>
      <c r="B90" s="75">
        <f t="shared" si="58"/>
        <v>0.16852223803593666</v>
      </c>
      <c r="C90" s="75">
        <f t="shared" si="58"/>
        <v>-4.2130559508984165E-2</v>
      </c>
      <c r="D90" s="24">
        <f t="shared" si="59"/>
        <v>0.12639167852695249</v>
      </c>
      <c r="H90" s="24">
        <f t="shared" si="60"/>
        <v>0.9732142857142857</v>
      </c>
      <c r="I90" s="22">
        <f t="shared" si="61"/>
        <v>0.12300618713783769</v>
      </c>
      <c r="J90" s="24">
        <f t="shared" si="62"/>
        <v>0.16639342259116219</v>
      </c>
      <c r="K90" s="22">
        <f t="shared" si="63"/>
        <v>0.16852223803593666</v>
      </c>
      <c r="L90" s="22">
        <f t="shared" si="64"/>
        <v>0.16400824951711693</v>
      </c>
      <c r="M90" s="230">
        <f t="shared" si="56"/>
        <v>0.16639342259116219</v>
      </c>
      <c r="N90" s="23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57"/>
        <v>Maize: kg produced</v>
      </c>
      <c r="B91" s="75">
        <f t="shared" si="58"/>
        <v>0.151670014232343</v>
      </c>
      <c r="C91" s="75">
        <f t="shared" si="58"/>
        <v>-0.151670014232343</v>
      </c>
      <c r="D91" s="24">
        <f t="shared" si="59"/>
        <v>0</v>
      </c>
      <c r="H91" s="24">
        <f t="shared" si="60"/>
        <v>0.9107142857142857</v>
      </c>
      <c r="I91" s="22">
        <f t="shared" si="61"/>
        <v>0</v>
      </c>
      <c r="J91" s="24">
        <f t="shared" si="62"/>
        <v>0.14616323723358493</v>
      </c>
      <c r="K91" s="22">
        <f t="shared" si="63"/>
        <v>0.151670014232343</v>
      </c>
      <c r="L91" s="22">
        <f t="shared" si="64"/>
        <v>0.1381280486758838</v>
      </c>
      <c r="M91" s="230">
        <f t="shared" si="56"/>
        <v>0.14616323723358493</v>
      </c>
      <c r="N91" s="232">
        <v>2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7"/>
        <v>Maize (irrigated): kg produced</v>
      </c>
      <c r="B92" s="75">
        <f t="shared" si="58"/>
        <v>5.0556671410780997E-2</v>
      </c>
      <c r="C92" s="75">
        <f t="shared" si="58"/>
        <v>-5.0556671410780997E-2</v>
      </c>
      <c r="D92" s="24">
        <f t="shared" si="59"/>
        <v>0</v>
      </c>
      <c r="H92" s="24">
        <f t="shared" si="60"/>
        <v>0.9107142857142857</v>
      </c>
      <c r="I92" s="22">
        <f t="shared" si="61"/>
        <v>0</v>
      </c>
      <c r="J92" s="24">
        <f t="shared" si="62"/>
        <v>4.8721079077861641E-2</v>
      </c>
      <c r="K92" s="22">
        <f t="shared" si="63"/>
        <v>5.0556671410780997E-2</v>
      </c>
      <c r="L92" s="22">
        <f t="shared" si="64"/>
        <v>4.6042682891961263E-2</v>
      </c>
      <c r="M92" s="230">
        <f t="shared" si="56"/>
        <v>4.8721079077861641E-2</v>
      </c>
      <c r="N92" s="232">
        <v>2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7"/>
        <v>Beans season 2: kg produced</v>
      </c>
      <c r="B93" s="75">
        <f t="shared" si="58"/>
        <v>5.0556671410780997E-2</v>
      </c>
      <c r="C93" s="75">
        <f t="shared" si="58"/>
        <v>-5.0556671410780997E-2</v>
      </c>
      <c r="D93" s="24">
        <f t="shared" si="59"/>
        <v>0</v>
      </c>
      <c r="H93" s="24">
        <f t="shared" si="60"/>
        <v>1.0089285714285712</v>
      </c>
      <c r="I93" s="22">
        <f t="shared" si="61"/>
        <v>0</v>
      </c>
      <c r="J93" s="24">
        <f t="shared" si="62"/>
        <v>5.3975313096062391E-2</v>
      </c>
      <c r="K93" s="22">
        <f t="shared" si="63"/>
        <v>5.0556671410780997E-2</v>
      </c>
      <c r="L93" s="22">
        <f t="shared" si="64"/>
        <v>5.1008070262662956E-2</v>
      </c>
      <c r="M93" s="230">
        <f t="shared" si="56"/>
        <v>5.3975313096062391E-2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7"/>
        <v>Other root crops (sweet potato): no. local meas</v>
      </c>
      <c r="B94" s="75">
        <f t="shared" si="58"/>
        <v>0.33704447607187332</v>
      </c>
      <c r="C94" s="75">
        <f t="shared" si="58"/>
        <v>-0.33704447607187332</v>
      </c>
      <c r="D94" s="24">
        <f t="shared" si="59"/>
        <v>0</v>
      </c>
      <c r="H94" s="24">
        <f t="shared" si="60"/>
        <v>0.89285714285714279</v>
      </c>
      <c r="I94" s="22">
        <f t="shared" si="61"/>
        <v>0</v>
      </c>
      <c r="J94" s="24">
        <f t="shared" si="62"/>
        <v>0.31843842534550093</v>
      </c>
      <c r="K94" s="22">
        <f t="shared" si="63"/>
        <v>0.33704447607187332</v>
      </c>
      <c r="L94" s="22">
        <f t="shared" si="64"/>
        <v>0.30093256792131545</v>
      </c>
      <c r="M94" s="230">
        <f t="shared" si="56"/>
        <v>0.31843842534550093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7"/>
        <v>Groundnuts (dry): no. local meas</v>
      </c>
      <c r="B95" s="75">
        <f t="shared" si="58"/>
        <v>0.151670014232343</v>
      </c>
      <c r="C95" s="75">
        <f t="shared" si="58"/>
        <v>-0.151670014232343</v>
      </c>
      <c r="D95" s="24">
        <f t="shared" si="59"/>
        <v>0</v>
      </c>
      <c r="H95" s="24">
        <f t="shared" si="60"/>
        <v>0.89285714285714279</v>
      </c>
      <c r="I95" s="22">
        <f t="shared" si="61"/>
        <v>0</v>
      </c>
      <c r="J95" s="24">
        <f t="shared" si="62"/>
        <v>0.14329729140547542</v>
      </c>
      <c r="K95" s="22">
        <f t="shared" si="63"/>
        <v>0.151670014232343</v>
      </c>
      <c r="L95" s="22">
        <f t="shared" si="64"/>
        <v>0.13541965556459196</v>
      </c>
      <c r="M95" s="230">
        <f t="shared" si="56"/>
        <v>0.14329729140547542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7"/>
        <v>Other crop: Rape</v>
      </c>
      <c r="B96" s="75">
        <f t="shared" si="58"/>
        <v>2.9491391656288918E-2</v>
      </c>
      <c r="C96" s="75">
        <f t="shared" si="58"/>
        <v>-2.9491391656288918E-2</v>
      </c>
      <c r="D96" s="24">
        <f t="shared" si="59"/>
        <v>0</v>
      </c>
      <c r="H96" s="24">
        <f t="shared" si="60"/>
        <v>0.95535714285714279</v>
      </c>
      <c r="I96" s="22">
        <f t="shared" si="61"/>
        <v>0</v>
      </c>
      <c r="J96" s="24">
        <f t="shared" si="62"/>
        <v>2.9813797572972527E-2</v>
      </c>
      <c r="K96" s="22">
        <f t="shared" si="63"/>
        <v>2.9491391656288918E-2</v>
      </c>
      <c r="L96" s="22">
        <f t="shared" si="64"/>
        <v>2.817481167163316E-2</v>
      </c>
      <c r="M96" s="230">
        <f t="shared" si="56"/>
        <v>2.9813797572972527E-2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7"/>
        <v>Other cashcrop (cabbage): kg produced</v>
      </c>
      <c r="B97" s="75">
        <f t="shared" si="58"/>
        <v>0.13481779042874933</v>
      </c>
      <c r="C97" s="75">
        <f t="shared" si="58"/>
        <v>0</v>
      </c>
      <c r="D97" s="24">
        <f t="shared" si="59"/>
        <v>0.13481779042874933</v>
      </c>
      <c r="H97" s="24">
        <f t="shared" si="60"/>
        <v>0.9642857142857143</v>
      </c>
      <c r="I97" s="22">
        <f t="shared" si="61"/>
        <v>0.13000286934200828</v>
      </c>
      <c r="J97" s="24">
        <f t="shared" si="62"/>
        <v>0.13000286934200828</v>
      </c>
      <c r="K97" s="22">
        <f t="shared" si="63"/>
        <v>0.13481779042874933</v>
      </c>
      <c r="L97" s="22">
        <f t="shared" si="64"/>
        <v>0.13000286934200828</v>
      </c>
      <c r="M97" s="230">
        <f t="shared" si="56"/>
        <v>0.13000286934200828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7"/>
        <v>FISHING -- see worksheet Data 3</v>
      </c>
      <c r="B98" s="75">
        <f t="shared" si="58"/>
        <v>0</v>
      </c>
      <c r="C98" s="75">
        <f t="shared" si="58"/>
        <v>0</v>
      </c>
      <c r="D98" s="24">
        <f t="shared" si="59"/>
        <v>0</v>
      </c>
      <c r="H98" s="24">
        <f t="shared" si="60"/>
        <v>0.89285714285714279</v>
      </c>
      <c r="I98" s="22">
        <f t="shared" si="61"/>
        <v>0</v>
      </c>
      <c r="J98" s="24">
        <f t="shared" si="62"/>
        <v>0</v>
      </c>
      <c r="K98" s="22">
        <f t="shared" si="63"/>
        <v>0</v>
      </c>
      <c r="L98" s="22">
        <f t="shared" si="64"/>
        <v>0</v>
      </c>
      <c r="M98" s="230">
        <f t="shared" si="56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7"/>
        <v>WILD FOODS -- see worksheet Data 3</v>
      </c>
      <c r="B99" s="75">
        <f t="shared" si="58"/>
        <v>0</v>
      </c>
      <c r="C99" s="75">
        <f t="shared" si="58"/>
        <v>0</v>
      </c>
      <c r="D99" s="24">
        <f t="shared" si="59"/>
        <v>0</v>
      </c>
      <c r="H99" s="24">
        <f t="shared" si="60"/>
        <v>0.7142857142857143</v>
      </c>
      <c r="I99" s="22">
        <f t="shared" si="61"/>
        <v>0</v>
      </c>
      <c r="J99" s="24">
        <f t="shared" si="62"/>
        <v>0</v>
      </c>
      <c r="K99" s="22">
        <f t="shared" si="63"/>
        <v>0</v>
      </c>
      <c r="L99" s="22">
        <f t="shared" si="64"/>
        <v>0</v>
      </c>
      <c r="M99" s="230">
        <f t="shared" si="56"/>
        <v>0</v>
      </c>
      <c r="N99" s="232">
        <v>6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7"/>
        <v>Agricultural casual work -- see Data2</v>
      </c>
      <c r="B100" s="75">
        <f t="shared" si="58"/>
        <v>0</v>
      </c>
      <c r="C100" s="75">
        <f t="shared" si="58"/>
        <v>0</v>
      </c>
      <c r="D100" s="24">
        <f t="shared" si="59"/>
        <v>0</v>
      </c>
      <c r="H100" s="24">
        <f t="shared" si="60"/>
        <v>0.86223214285714289</v>
      </c>
      <c r="I100" s="22">
        <f t="shared" si="61"/>
        <v>0</v>
      </c>
      <c r="J100" s="24">
        <f t="shared" si="62"/>
        <v>0</v>
      </c>
      <c r="K100" s="22">
        <f t="shared" si="63"/>
        <v>0</v>
      </c>
      <c r="L100" s="22">
        <f t="shared" si="64"/>
        <v>0</v>
      </c>
      <c r="M100" s="230">
        <f t="shared" si="56"/>
        <v>0</v>
      </c>
      <c r="N100" s="232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7"/>
        <v>Construction casual work -- see Data2</v>
      </c>
      <c r="B101" s="75">
        <f t="shared" si="58"/>
        <v>0</v>
      </c>
      <c r="C101" s="75">
        <f t="shared" si="58"/>
        <v>0</v>
      </c>
      <c r="D101" s="24">
        <f t="shared" si="59"/>
        <v>0</v>
      </c>
      <c r="H101" s="24">
        <f t="shared" si="60"/>
        <v>0.98214285714285721</v>
      </c>
      <c r="I101" s="22">
        <f t="shared" si="61"/>
        <v>0</v>
      </c>
      <c r="J101" s="24">
        <f t="shared" si="62"/>
        <v>0</v>
      </c>
      <c r="K101" s="22">
        <f t="shared" si="63"/>
        <v>0</v>
      </c>
      <c r="L101" s="22">
        <f t="shared" si="64"/>
        <v>0</v>
      </c>
      <c r="M101" s="230">
        <f t="shared" si="56"/>
        <v>0</v>
      </c>
      <c r="N101" s="232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7"/>
        <v>Domestic casual work -- see Data2</v>
      </c>
      <c r="B102" s="75">
        <f t="shared" si="58"/>
        <v>0</v>
      </c>
      <c r="C102" s="75">
        <f t="shared" si="58"/>
        <v>0</v>
      </c>
      <c r="D102" s="24">
        <f t="shared" si="59"/>
        <v>0</v>
      </c>
      <c r="H102" s="24">
        <f t="shared" si="60"/>
        <v>0.98214285714285721</v>
      </c>
      <c r="I102" s="22">
        <f t="shared" si="61"/>
        <v>0</v>
      </c>
      <c r="J102" s="24">
        <f t="shared" si="62"/>
        <v>0</v>
      </c>
      <c r="K102" s="22">
        <f t="shared" si="63"/>
        <v>0</v>
      </c>
      <c r="L102" s="22">
        <f t="shared" si="64"/>
        <v>0</v>
      </c>
      <c r="M102" s="230">
        <f t="shared" si="56"/>
        <v>0</v>
      </c>
      <c r="N102" s="232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7"/>
        <v>Labour migration: no. people per HH</v>
      </c>
      <c r="B103" s="75">
        <f t="shared" si="58"/>
        <v>7.0779339975093398</v>
      </c>
      <c r="C103" s="75">
        <f t="shared" si="58"/>
        <v>0</v>
      </c>
      <c r="D103" s="24">
        <f t="shared" si="59"/>
        <v>7.0779339975093398</v>
      </c>
      <c r="H103" s="24">
        <f t="shared" si="60"/>
        <v>0.95535714285714279</v>
      </c>
      <c r="I103" s="22">
        <f t="shared" si="61"/>
        <v>6.7619548011919584</v>
      </c>
      <c r="J103" s="24">
        <f t="shared" si="62"/>
        <v>6.7619548011919584</v>
      </c>
      <c r="K103" s="22">
        <f t="shared" si="63"/>
        <v>7.0779339975093398</v>
      </c>
      <c r="L103" s="22">
        <f t="shared" si="64"/>
        <v>6.7619548011919584</v>
      </c>
      <c r="M103" s="230">
        <f t="shared" si="56"/>
        <v>6.7619548011919584</v>
      </c>
      <c r="N103" s="232">
        <v>8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7"/>
        <v>Formal Employment (e.g. teachers, salaried staff, etc.)</v>
      </c>
      <c r="B104" s="75">
        <f t="shared" si="58"/>
        <v>4.0445337128624796</v>
      </c>
      <c r="C104" s="75">
        <f t="shared" si="58"/>
        <v>0</v>
      </c>
      <c r="D104" s="24">
        <f t="shared" si="59"/>
        <v>4.0445337128624796</v>
      </c>
      <c r="H104" s="24">
        <f t="shared" si="60"/>
        <v>0.95535714285714279</v>
      </c>
      <c r="I104" s="22">
        <f t="shared" si="61"/>
        <v>3.8639741721096903</v>
      </c>
      <c r="J104" s="24">
        <f t="shared" si="62"/>
        <v>3.8639741721096903</v>
      </c>
      <c r="K104" s="22">
        <f t="shared" si="63"/>
        <v>4.0445337128624796</v>
      </c>
      <c r="L104" s="22">
        <f t="shared" si="64"/>
        <v>3.8639741721096903</v>
      </c>
      <c r="M104" s="57">
        <f t="shared" si="56"/>
        <v>3.8639741721096903</v>
      </c>
      <c r="N104" s="232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7"/>
        <v>Self-employment -- see Data2</v>
      </c>
      <c r="B105" s="75">
        <f t="shared" si="58"/>
        <v>1.1526921081658068</v>
      </c>
      <c r="C105" s="75">
        <f t="shared" si="58"/>
        <v>0.23053842163316135</v>
      </c>
      <c r="D105" s="24">
        <f t="shared" si="59"/>
        <v>1.3832305297989682</v>
      </c>
      <c r="H105" s="24">
        <f t="shared" si="60"/>
        <v>0.98214285714285721</v>
      </c>
      <c r="I105" s="22">
        <f t="shared" si="61"/>
        <v>1.3585299846239867</v>
      </c>
      <c r="J105" s="24">
        <f t="shared" si="62"/>
        <v>1.1189369133940317</v>
      </c>
      <c r="K105" s="22">
        <f t="shared" si="63"/>
        <v>1.1526921081658068</v>
      </c>
      <c r="L105" s="22">
        <f t="shared" si="64"/>
        <v>1.1321083205199889</v>
      </c>
      <c r="M105" s="57">
        <f t="shared" si="56"/>
        <v>1.1189369133940317</v>
      </c>
      <c r="N105" s="232">
        <v>10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7"/>
        <v>Small business -- see Data2</v>
      </c>
      <c r="B106" s="75">
        <f t="shared" si="58"/>
        <v>0</v>
      </c>
      <c r="C106" s="75">
        <f t="shared" si="58"/>
        <v>0</v>
      </c>
      <c r="D106" s="24">
        <f t="shared" si="59"/>
        <v>0</v>
      </c>
      <c r="H106" s="24">
        <f t="shared" si="60"/>
        <v>0.9375</v>
      </c>
      <c r="I106" s="22">
        <f t="shared" si="61"/>
        <v>0</v>
      </c>
      <c r="J106" s="24">
        <f t="shared" si="62"/>
        <v>0</v>
      </c>
      <c r="K106" s="22">
        <f t="shared" si="63"/>
        <v>0</v>
      </c>
      <c r="L106" s="22">
        <f t="shared" si="64"/>
        <v>0</v>
      </c>
      <c r="M106" s="57">
        <f t="shared" si="56"/>
        <v>0</v>
      </c>
      <c r="N106" s="232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7"/>
        <v>Social Cash Transfers -- see Data2</v>
      </c>
      <c r="B107" s="75">
        <f t="shared" si="58"/>
        <v>1.3342365191408843</v>
      </c>
      <c r="C107" s="75">
        <f t="shared" si="58"/>
        <v>0</v>
      </c>
      <c r="D107" s="24">
        <f t="shared" si="59"/>
        <v>1.3342365191408843</v>
      </c>
      <c r="H107" s="24">
        <f t="shared" si="60"/>
        <v>0.99107142857142871</v>
      </c>
      <c r="I107" s="22">
        <f t="shared" si="61"/>
        <v>1.3223236930771265</v>
      </c>
      <c r="J107" s="24">
        <f t="shared" si="62"/>
        <v>1.3223236930771265</v>
      </c>
      <c r="K107" s="22">
        <f t="shared" si="63"/>
        <v>1.3342365191408843</v>
      </c>
      <c r="L107" s="22">
        <f t="shared" si="64"/>
        <v>1.3223236930771265</v>
      </c>
      <c r="M107" s="57">
        <f t="shared" si="56"/>
        <v>1.3223236930771265</v>
      </c>
      <c r="N107" s="232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7"/>
        <v>Remittances: no. times per year</v>
      </c>
      <c r="B108" s="75">
        <f t="shared" si="58"/>
        <v>0.20222668564312399</v>
      </c>
      <c r="C108" s="75">
        <f t="shared" si="58"/>
        <v>0</v>
      </c>
      <c r="D108" s="24">
        <f t="shared" si="59"/>
        <v>0.20222668564312399</v>
      </c>
      <c r="H108" s="24">
        <f t="shared" si="60"/>
        <v>0.9375</v>
      </c>
      <c r="I108" s="22">
        <f t="shared" si="61"/>
        <v>0.18958751779042873</v>
      </c>
      <c r="J108" s="24">
        <f t="shared" si="62"/>
        <v>0.18958751779042873</v>
      </c>
      <c r="K108" s="22">
        <f t="shared" si="63"/>
        <v>0.20222668564312399</v>
      </c>
      <c r="L108" s="22">
        <f t="shared" si="64"/>
        <v>0.18958751779042873</v>
      </c>
      <c r="M108" s="57">
        <f t="shared" si="56"/>
        <v>0.18958751779042873</v>
      </c>
      <c r="N108" s="232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7"/>
        <v/>
      </c>
      <c r="B109" s="75">
        <f t="shared" si="58"/>
        <v>0</v>
      </c>
      <c r="C109" s="75">
        <f t="shared" si="58"/>
        <v>0</v>
      </c>
      <c r="D109" s="24">
        <f t="shared" si="59"/>
        <v>0</v>
      </c>
      <c r="H109" s="24">
        <f t="shared" si="60"/>
        <v>0.89285714285714279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57">
        <f t="shared" si="56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7"/>
        <v/>
      </c>
      <c r="B110" s="75">
        <f t="shared" si="58"/>
        <v>0</v>
      </c>
      <c r="C110" s="75">
        <f t="shared" si="58"/>
        <v>0</v>
      </c>
      <c r="D110" s="24">
        <f t="shared" si="59"/>
        <v>0</v>
      </c>
      <c r="H110" s="24">
        <f t="shared" si="60"/>
        <v>0.89285714285714279</v>
      </c>
      <c r="I110" s="22">
        <f t="shared" si="61"/>
        <v>0</v>
      </c>
      <c r="J110" s="24">
        <f>IF(I$34&lt;=1+I$123,I110,L110+J$35*(I110-L110))</f>
        <v>0</v>
      </c>
      <c r="K110" s="22">
        <f t="shared" si="63"/>
        <v>0</v>
      </c>
      <c r="L110" s="22">
        <f t="shared" si="64"/>
        <v>0</v>
      </c>
      <c r="M110" s="57">
        <f t="shared" si="56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">
        <v>32</v>
      </c>
      <c r="B111" s="22">
        <f>SUM(B88:B110)</f>
        <v>16.200425747481034</v>
      </c>
      <c r="C111" s="22">
        <f>SUM(C88:C110)</f>
        <v>-0.16127578180039132</v>
      </c>
      <c r="D111" s="24">
        <f>SUM(D88:D110)</f>
        <v>16.039149965680643</v>
      </c>
      <c r="E111" s="22"/>
      <c r="F111" s="2"/>
      <c r="G111" s="2"/>
      <c r="H111" s="31"/>
      <c r="I111" s="22">
        <f>SUM(I88:I110)</f>
        <v>15.435955802188051</v>
      </c>
      <c r="J111" s="24">
        <f>SUM(J88:J110)</f>
        <v>15.538325794975995</v>
      </c>
      <c r="K111" s="22">
        <f>SUM(K88:K110)</f>
        <v>16.200425747481034</v>
      </c>
      <c r="L111" s="22">
        <f>SUM(L88:L110)</f>
        <v>15.532698099460553</v>
      </c>
      <c r="M111" s="57">
        <f t="shared" si="56"/>
        <v>15.538325794975995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83"/>
      <c r="B112" s="83"/>
      <c r="C112" s="83"/>
      <c r="D112" s="10"/>
      <c r="E112" s="11"/>
      <c r="F112" s="11"/>
      <c r="G112" s="11"/>
      <c r="H112" s="10"/>
      <c r="I112" s="11"/>
      <c r="J112" s="62"/>
      <c r="K112" s="14"/>
      <c r="L112" s="11"/>
      <c r="M112" s="63"/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>
      <c r="A113" s="73" t="str">
        <f>A64</f>
        <v>Expenditure : Middle HHs</v>
      </c>
      <c r="B113" s="2"/>
      <c r="C113" s="2"/>
      <c r="D113" s="31"/>
      <c r="E113" s="2"/>
      <c r="F113" s="2"/>
      <c r="G113" s="2"/>
      <c r="H113" s="31"/>
      <c r="I113" s="22"/>
      <c r="J113" s="18"/>
      <c r="L113" s="2"/>
      <c r="M113" s="57"/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  <c r="AM113" s="21"/>
      <c r="AN113" s="21"/>
      <c r="AO113" s="21"/>
      <c r="AV113" s="21"/>
      <c r="AW113" s="21"/>
      <c r="AX113" s="21"/>
      <c r="BC113" s="21"/>
      <c r="BD113" s="21"/>
      <c r="BE113" s="21"/>
      <c r="BL113" s="21"/>
      <c r="BM113" s="21"/>
      <c r="BN113" s="21"/>
      <c r="BS113" s="21"/>
      <c r="BT113" s="21"/>
      <c r="BU113" s="21"/>
      <c r="CA113" s="21"/>
      <c r="CB113" s="21"/>
      <c r="CC113" s="21"/>
      <c r="CH113" s="21"/>
      <c r="CI113" s="21"/>
      <c r="CJ113" s="21"/>
    </row>
    <row r="114" spans="1:88" ht="14" customHeight="1">
      <c r="A114" s="84"/>
      <c r="B114" s="19" t="s">
        <v>7</v>
      </c>
      <c r="C114" s="2"/>
      <c r="D114" s="16"/>
      <c r="H114" s="16" t="s">
        <v>12</v>
      </c>
      <c r="I114" s="19" t="s">
        <v>13</v>
      </c>
      <c r="J114" s="16" t="s">
        <v>14</v>
      </c>
      <c r="K114" s="19" t="s">
        <v>7</v>
      </c>
      <c r="L114" s="19" t="s">
        <v>15</v>
      </c>
      <c r="M114" s="57" t="str">
        <f t="shared" ref="M114:M122" si="65">(J114)</f>
        <v>Curr.</v>
      </c>
      <c r="N114" s="5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">
        <v>44</v>
      </c>
      <c r="B115" s="19" t="s">
        <v>35</v>
      </c>
      <c r="C115" s="2"/>
      <c r="D115" s="31"/>
      <c r="H115" s="16" t="s">
        <v>18</v>
      </c>
      <c r="I115" s="19" t="s">
        <v>35</v>
      </c>
      <c r="J115" s="16" t="s">
        <v>35</v>
      </c>
      <c r="K115" s="19" t="s">
        <v>35</v>
      </c>
      <c r="L115" s="19" t="s">
        <v>19</v>
      </c>
      <c r="M115" s="57" t="str">
        <f t="shared" si="65"/>
        <v>Expend</v>
      </c>
      <c r="N115" s="5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2"/>
      <c r="AC115" s="2"/>
      <c r="AD115" s="2"/>
      <c r="AE115" s="2"/>
      <c r="AF115" s="2"/>
      <c r="AG115" s="2"/>
    </row>
    <row r="116" spans="1:88" ht="14" customHeight="1">
      <c r="A116" s="109" t="s">
        <v>131</v>
      </c>
      <c r="B116" s="75">
        <f>B67/B80</f>
        <v>3.82119375070247</v>
      </c>
      <c r="C116" s="2"/>
      <c r="D116" s="24"/>
      <c r="H116" s="24">
        <f>(E67*F67/G$39*F$7/F$9)</f>
        <v>1.0178571428571426</v>
      </c>
      <c r="I116" s="29">
        <f>IF(SUMPRODUCT($B$116:$B116,$H$116:$H116)&lt;I$111,($B116*$H116),I$111)</f>
        <v>3.8894293533935844</v>
      </c>
      <c r="J116" s="241">
        <f>IF(SUMPRODUCT($B$116:$B116,$H$116:$H116)&lt;J$111,($B116*$H116),J$111)</f>
        <v>3.8894293533935844</v>
      </c>
      <c r="K116" s="22">
        <f>(B116)</f>
        <v>3.82119375070247</v>
      </c>
      <c r="L116" s="22">
        <f>IF(B116*H116&gt;=L111,L111,B116*H116)</f>
        <v>3.8894293533935844</v>
      </c>
      <c r="M116" s="57">
        <f t="shared" si="65"/>
        <v>3.8894293533935844</v>
      </c>
      <c r="N116" s="5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2"/>
      <c r="AC116" s="2"/>
      <c r="AD116" s="2"/>
      <c r="AE116" s="2"/>
      <c r="AF116" s="2"/>
      <c r="AG116" s="2"/>
    </row>
    <row r="117" spans="1:88" ht="14" customHeight="1">
      <c r="A117" s="109" t="s">
        <v>132</v>
      </c>
      <c r="B117" s="75"/>
      <c r="C117" s="2"/>
      <c r="D117" s="24"/>
      <c r="H117" s="24">
        <f t="shared" ref="H117:H118" si="66">(E68*F68/G$39*F$7/F$9)</f>
        <v>0.99107142857142871</v>
      </c>
      <c r="I117" s="29">
        <f>IF(SUMPRODUCT($B$116:$B117,$H$116:$H117)&lt;I$111,($B117*$H117),IF(SUMPRODUCT($B$116:$B116,$H$116:$H116)&lt;I$111,I$111-SUMPRODUCT($B$116:$B116,$H$116:$H116),0))+I111</f>
        <v>15.435955802188051</v>
      </c>
      <c r="J117" s="241">
        <f>IF(SUMPRODUCT($B$116:$B117,$H$116:$H117)&lt;J$111,($B117*$H117),IF(SUMPRODUCT($B$116:$B116,$H$116:$H116)&lt;J$111,J$111-SUMPRODUCT($B$116:$B116,$H$116:$H116),0))</f>
        <v>0</v>
      </c>
      <c r="K117" s="22">
        <f t="shared" ref="K117:K118" si="67">(B117)</f>
        <v>0</v>
      </c>
      <c r="L117" s="22">
        <f t="shared" ref="L117:L118" si="68">IF(B117*H117&gt;=L112,L112,B117*H117)</f>
        <v>0</v>
      </c>
      <c r="M117" s="57">
        <f t="shared" ref="M117:M118" si="69">(J117)</f>
        <v>0</v>
      </c>
      <c r="N117" s="5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2"/>
      <c r="AC117" s="2"/>
      <c r="AD117" s="2"/>
      <c r="AE117" s="2"/>
      <c r="AF117" s="2"/>
      <c r="AG117" s="2"/>
    </row>
    <row r="118" spans="1:88" ht="14" customHeight="1">
      <c r="A118" s="109" t="s">
        <v>133</v>
      </c>
      <c r="B118" s="75"/>
      <c r="C118" s="2"/>
      <c r="D118" s="24"/>
      <c r="H118" s="24">
        <f t="shared" si="66"/>
        <v>0.99107142857142871</v>
      </c>
      <c r="I118" s="29">
        <f>IF(SUMPRODUCT($B$116:$B118,$H$116:$H118)&lt;(I$111-I$116),($B118*$H118),IF(SUMPRODUCT($B$116:$B117,$H$116:$H117)&lt;(I$111-I$116),I$111-I$116-SUMPRODUCT($B$116:$B117,$H$116:$H117),0))</f>
        <v>0</v>
      </c>
      <c r="J118" s="241">
        <f>IF(SUMPRODUCT($B$116:$B118,$H$116:$H118)&lt;(J$111-J$120),($B118*$H118),IF(SUMPRODUCT($B$116:$B117,$H$116:$H117)&lt;(J$111-J$120),J$111-J$116-SUMPRODUCT($B$116:$B117,$H$116:$H117),0))</f>
        <v>0</v>
      </c>
      <c r="K118" s="22">
        <f t="shared" si="67"/>
        <v>0</v>
      </c>
      <c r="L118" s="22">
        <f t="shared" si="68"/>
        <v>0</v>
      </c>
      <c r="M118" s="57">
        <f t="shared" si="69"/>
        <v>0</v>
      </c>
      <c r="N118" s="5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2"/>
      <c r="AC118" s="2"/>
      <c r="AD118" s="2"/>
      <c r="AE118" s="2"/>
      <c r="AF118" s="2"/>
      <c r="AG118" s="2"/>
    </row>
    <row r="119" spans="1:88" ht="14" customHeight="1">
      <c r="A119" s="109" t="s">
        <v>134</v>
      </c>
      <c r="B119" s="75">
        <f>B70/B80</f>
        <v>6.7863905257071693</v>
      </c>
      <c r="C119" s="2"/>
      <c r="D119" s="24"/>
      <c r="H119" s="24">
        <f>(E70*F70/G$39*F$7/F$9)</f>
        <v>0.99107142857142871</v>
      </c>
      <c r="I119" s="29">
        <f>IF(SUMPRODUCT($B$116:$B119,$H$116:$H119)&lt;(I$111-I$116),($B119*$H119),IF(SUMPRODUCT($B$116:$B118,$H$116:$H118)&lt;(I$111-I120),I$111-I$116-SUMPRODUCT($B$116:$B118,$H$116:$H118),0))</f>
        <v>6.725797753156213</v>
      </c>
      <c r="J119" s="241">
        <f>IF(SUMPRODUCT($B$116:$B119,$H$116:$H119)&lt;(J$111-J$120),($B119*$H119),IF(SUMPRODUCT($B$116:$B118,$H$116:$H118)&lt;(J$111-J120),J$111-J$120-SUMPRODUCT($B$116:$B118,$H$116:$H118),0))</f>
        <v>6.725797753156213</v>
      </c>
      <c r="K119" s="22">
        <f>(B119)</f>
        <v>6.7863905257071693</v>
      </c>
      <c r="L119" s="22">
        <f>IF(L116=L111,0,(L111-L116)/(B111-B116)*K119)</f>
        <v>6.3829297913742522</v>
      </c>
      <c r="M119" s="57">
        <f t="shared" si="65"/>
        <v>6.725797753156213</v>
      </c>
      <c r="N119" s="58"/>
      <c r="Q119" s="2"/>
      <c r="R119" s="22"/>
      <c r="S119" s="2"/>
      <c r="T119" s="2"/>
      <c r="U119" s="2"/>
      <c r="V119" s="2"/>
      <c r="W119" s="2"/>
      <c r="X119" s="2"/>
      <c r="Y119" s="2"/>
      <c r="Z119" s="2"/>
      <c r="AA119" s="2"/>
      <c r="AB119" s="22"/>
      <c r="AC119" s="2"/>
      <c r="AD119" s="2"/>
      <c r="AE119" s="2"/>
      <c r="AF119" s="2"/>
      <c r="AG119" s="2"/>
    </row>
    <row r="120" spans="1:88" ht="14" customHeight="1">
      <c r="A120" s="1" t="s">
        <v>135</v>
      </c>
      <c r="B120" s="22">
        <f>(B32)</f>
        <v>0.64712539405799685</v>
      </c>
      <c r="C120" s="2"/>
      <c r="D120" s="31"/>
      <c r="E120" s="2"/>
      <c r="F120" s="2"/>
      <c r="G120" s="2"/>
      <c r="H120" s="24"/>
      <c r="I120" s="29">
        <f>(I32)</f>
        <v>11.546526448794467</v>
      </c>
      <c r="J120" s="231">
        <f>(J32)</f>
        <v>0.69048483993699794</v>
      </c>
      <c r="K120" s="22">
        <f>(B120)</f>
        <v>0.64712539405799685</v>
      </c>
      <c r="L120" s="22">
        <f>IF(L116=L111,0,(L111-L116)/(B111-B116)*K120)</f>
        <v>0.60865285321274221</v>
      </c>
      <c r="M120" s="57">
        <f t="shared" si="65"/>
        <v>0.69048483993699794</v>
      </c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2"/>
      <c r="AC120" s="2"/>
      <c r="AD120" s="2"/>
      <c r="AE120" s="2"/>
      <c r="AF120" s="2"/>
      <c r="AG120" s="2"/>
    </row>
    <row r="121" spans="1:88" ht="14" customHeight="1">
      <c r="A121" s="56" t="s">
        <v>55</v>
      </c>
      <c r="B121" s="22">
        <f>(B122-B116-B119-B120)</f>
        <v>4.9457160770133983</v>
      </c>
      <c r="C121" s="2"/>
      <c r="D121" s="31"/>
      <c r="E121" s="2"/>
      <c r="F121" s="2"/>
      <c r="G121" s="2"/>
      <c r="H121" s="24"/>
      <c r="I121" s="29"/>
      <c r="J121" s="231">
        <f>(J122-J116-J117-J118-J119-J120)</f>
        <v>4.2326138484891995</v>
      </c>
      <c r="K121" s="22">
        <f>(B121)</f>
        <v>4.9457160770133983</v>
      </c>
      <c r="L121" s="22">
        <f>IF(L116=L111,0,(L111-L116)/(B111-B116)*K121)</f>
        <v>4.6516861014799744</v>
      </c>
      <c r="M121" s="57">
        <f t="shared" si="65"/>
        <v>4.2326138484891995</v>
      </c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</row>
    <row r="122" spans="1:88" ht="14" customHeight="1">
      <c r="A122" s="2" t="s">
        <v>32</v>
      </c>
      <c r="B122" s="22">
        <f>(B111)</f>
        <v>16.200425747481034</v>
      </c>
      <c r="C122" s="2"/>
      <c r="D122" s="31"/>
      <c r="E122" s="2"/>
      <c r="F122" s="2"/>
      <c r="G122" s="2"/>
      <c r="H122" s="24"/>
      <c r="I122" s="29">
        <f>(I111)</f>
        <v>15.435955802188051</v>
      </c>
      <c r="J122" s="231">
        <f>(J111)</f>
        <v>15.538325794975995</v>
      </c>
      <c r="K122" s="22">
        <f>(B122)</f>
        <v>16.200425747481034</v>
      </c>
      <c r="L122" s="22">
        <f>(L111)</f>
        <v>15.532698099460553</v>
      </c>
      <c r="M122" s="57">
        <f t="shared" si="65"/>
        <v>15.538325794975995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2"/>
      <c r="AC122" s="2"/>
      <c r="AD122" s="2"/>
      <c r="AE122" s="2"/>
      <c r="AF122" s="2"/>
      <c r="AG122" s="2"/>
    </row>
    <row r="123" spans="1:88" ht="14" customHeight="1">
      <c r="A123" s="2" t="s">
        <v>36</v>
      </c>
      <c r="B123" s="22"/>
      <c r="C123" s="2"/>
      <c r="D123" s="31"/>
      <c r="E123" s="2"/>
      <c r="F123" s="2"/>
      <c r="G123" s="2"/>
      <c r="H123" s="24"/>
      <c r="I123" s="29">
        <f>IF(SUMPRODUCT($B116:$B119,$H116:$H119)&gt;(I111-I120),SUMPRODUCT($B116:$B119,$H116:$H119)+I120-I111,0)</f>
        <v>6.7257977531562112</v>
      </c>
      <c r="J123" s="241">
        <f>IF(SUMPRODUCT($B116:$B119,$H116:$H119)&gt;(J111-J120),SUMPRODUCT($B116:$B119,$H116:$H119)+J120-J111,0)</f>
        <v>0</v>
      </c>
      <c r="K123" s="22"/>
      <c r="L123" s="22">
        <f>I123-L119</f>
        <v>0.342867961781959</v>
      </c>
      <c r="M123" s="57">
        <f>I123-M119</f>
        <v>0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4"/>
      <c r="B124" s="14"/>
      <c r="C124" s="14"/>
      <c r="D124" s="12"/>
      <c r="E124" s="14"/>
      <c r="F124" s="14"/>
      <c r="G124" s="14"/>
      <c r="H124" s="12"/>
      <c r="I124" s="14"/>
      <c r="J124" s="12"/>
      <c r="K124" s="14"/>
      <c r="L124" s="14"/>
      <c r="M124" s="66"/>
      <c r="N124" s="58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B135" s="22"/>
      <c r="C135" s="22"/>
      <c r="D135" s="2"/>
      <c r="E135" s="2"/>
      <c r="F135" s="2"/>
      <c r="G135" s="2"/>
      <c r="H135" s="2"/>
      <c r="I135" s="2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68"/>
      <c r="AC135" s="2"/>
      <c r="AD135" s="2"/>
      <c r="AE135" s="2"/>
      <c r="AF135" s="2"/>
      <c r="AG135" s="2"/>
    </row>
    <row r="136" spans="1:33">
      <c r="B136" s="22"/>
      <c r="C136" s="22"/>
      <c r="D136" s="2"/>
      <c r="E136" s="2"/>
      <c r="F136" s="2"/>
      <c r="G136" s="2"/>
      <c r="H136" s="2"/>
      <c r="I136" s="2"/>
      <c r="J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68"/>
      <c r="AC136" s="2"/>
      <c r="AD136" s="2"/>
      <c r="AE136" s="2"/>
      <c r="AF136" s="2"/>
      <c r="AG136" s="2"/>
    </row>
    <row r="137" spans="1:33">
      <c r="B137" s="22"/>
      <c r="C137" s="22"/>
      <c r="D137" s="2"/>
      <c r="E137" s="2"/>
      <c r="F137" s="2"/>
      <c r="G137" s="2"/>
      <c r="H137" s="2"/>
      <c r="I137" s="22"/>
      <c r="J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68"/>
      <c r="AC137" s="2"/>
      <c r="AD137" s="2"/>
      <c r="AE137" s="2"/>
      <c r="AF137" s="2"/>
      <c r="AG137" s="2"/>
    </row>
    <row r="138" spans="1:33">
      <c r="B138" s="2"/>
      <c r="C138" s="2"/>
      <c r="D138" s="2"/>
      <c r="E138" s="2"/>
      <c r="F138" s="2"/>
      <c r="G138" s="2"/>
      <c r="H138" s="2"/>
      <c r="I138" s="2"/>
      <c r="J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68"/>
      <c r="AC138" s="2"/>
      <c r="AD138" s="2"/>
      <c r="AE138" s="2"/>
      <c r="AF138" s="2"/>
      <c r="AG138" s="2"/>
    </row>
    <row r="139" spans="1:33">
      <c r="B139" s="22"/>
      <c r="C139" s="22"/>
      <c r="D139" s="2"/>
      <c r="E139" s="2"/>
      <c r="F139" s="2"/>
      <c r="G139" s="2"/>
      <c r="H139" s="2"/>
      <c r="I139" s="2"/>
      <c r="J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68"/>
      <c r="AC139" s="2"/>
      <c r="AD139" s="2"/>
      <c r="AE139" s="2"/>
      <c r="AF139" s="2"/>
      <c r="AG139" s="2"/>
    </row>
    <row r="140" spans="1:33">
      <c r="B140" s="22"/>
      <c r="C140" s="22"/>
      <c r="D140" s="2"/>
      <c r="E140" s="2"/>
      <c r="F140" s="2"/>
      <c r="G140" s="2"/>
      <c r="H140" s="2"/>
      <c r="I140" s="2"/>
      <c r="J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68"/>
      <c r="AC140" s="2"/>
      <c r="AD140" s="2"/>
      <c r="AE140" s="2"/>
      <c r="AF140" s="2"/>
      <c r="AG140" s="2"/>
    </row>
    <row r="141" spans="1:33">
      <c r="B141" s="22"/>
      <c r="C141" s="22"/>
      <c r="D141" s="2"/>
      <c r="E141" s="2"/>
      <c r="F141" s="2"/>
      <c r="G141" s="2"/>
      <c r="H141" s="2"/>
      <c r="I141" s="2"/>
      <c r="J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68"/>
      <c r="AC141" s="2"/>
      <c r="AD141" s="2"/>
      <c r="AE141" s="2"/>
      <c r="AF141" s="2"/>
      <c r="AG141" s="2"/>
    </row>
    <row r="142" spans="1:33">
      <c r="B142" s="22"/>
      <c r="C142" s="2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68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69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3"/>
      <c r="B146" s="2"/>
      <c r="C146" s="2"/>
      <c r="D146" s="2"/>
      <c r="E146" s="2"/>
      <c r="F146" s="2"/>
      <c r="H146" s="2"/>
      <c r="I146" s="2"/>
      <c r="J146" s="2"/>
      <c r="L146" s="2"/>
      <c r="W146" s="71"/>
    </row>
    <row r="147" spans="1:33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1"/>
    </row>
    <row r="148" spans="1:33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1"/>
    </row>
    <row r="149" spans="1:33">
      <c r="A149" s="22"/>
      <c r="B149" s="2"/>
      <c r="C149" s="2"/>
      <c r="D149" s="2"/>
      <c r="E149" s="2"/>
      <c r="F149" s="2"/>
      <c r="H149" s="2"/>
      <c r="I149" s="2"/>
      <c r="J149" s="2"/>
      <c r="L149" s="2"/>
      <c r="W149" s="71"/>
    </row>
    <row r="150" spans="1:33">
      <c r="A150" s="2"/>
      <c r="B150" s="2"/>
      <c r="C150" s="2"/>
      <c r="D150" s="2"/>
      <c r="E150" s="2"/>
      <c r="F150" s="2"/>
      <c r="H150" s="2"/>
      <c r="I150" s="2"/>
      <c r="J150" s="2"/>
      <c r="L150" s="2"/>
      <c r="W150" s="71"/>
    </row>
    <row r="151" spans="1:33">
      <c r="A151" s="2"/>
      <c r="B151" s="2"/>
      <c r="C151" s="2"/>
      <c r="D151" s="2"/>
      <c r="E151" s="2"/>
      <c r="F151" s="2"/>
      <c r="H151" s="2"/>
      <c r="I151" s="2"/>
      <c r="J151" s="2"/>
      <c r="L151" s="2"/>
    </row>
    <row r="152" spans="1:33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33">
      <c r="A153" s="2"/>
      <c r="B153" s="2"/>
      <c r="C153" s="2"/>
      <c r="D153" s="2"/>
      <c r="E153" s="2"/>
      <c r="F153" s="2"/>
      <c r="H153" s="2"/>
      <c r="I153" s="2"/>
      <c r="J153" s="2"/>
      <c r="L153" s="2"/>
      <c r="AB153" s="71"/>
    </row>
    <row r="154" spans="1:33">
      <c r="A154" s="2"/>
      <c r="B154" s="2"/>
      <c r="C154" s="2"/>
      <c r="D154" s="2"/>
      <c r="E154" s="2"/>
      <c r="F154" s="2"/>
      <c r="H154" s="2"/>
      <c r="I154" s="2"/>
      <c r="J154" s="2"/>
      <c r="L154" s="2"/>
      <c r="AB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AB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AB156" s="71"/>
    </row>
    <row r="157" spans="1:33">
      <c r="A157" s="2"/>
      <c r="B157" s="2"/>
      <c r="C157" s="2"/>
      <c r="D157" s="2"/>
      <c r="E157" s="2"/>
      <c r="F157" s="2"/>
      <c r="H157" s="2"/>
      <c r="I157" s="2"/>
      <c r="J157" s="2"/>
      <c r="L157" s="2"/>
      <c r="W157" s="72"/>
      <c r="AB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2"/>
      <c r="AB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  <c r="AB159" s="71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W163" s="7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W164" s="7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W169" s="7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  <c r="W170" s="72"/>
      <c r="AB170" s="71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AB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</row>
    <row r="177" spans="23:28">
      <c r="AB177" s="71"/>
    </row>
    <row r="178" spans="23:28">
      <c r="AB178" s="71"/>
    </row>
    <row r="179" spans="23:28">
      <c r="AB179" s="71"/>
    </row>
    <row r="180" spans="23:28">
      <c r="AB180" s="71"/>
    </row>
    <row r="181" spans="23:28">
      <c r="W181" s="72"/>
      <c r="AB181" s="71"/>
    </row>
    <row r="182" spans="23:28">
      <c r="W182" s="72"/>
      <c r="AB182" s="71"/>
    </row>
    <row r="183" spans="23:28">
      <c r="W183" s="72"/>
    </row>
    <row r="185" spans="23:28">
      <c r="AB185" s="71"/>
    </row>
    <row r="186" spans="23:28">
      <c r="AB186" s="71"/>
    </row>
    <row r="187" spans="23:28">
      <c r="AB187" s="71"/>
    </row>
    <row r="188" spans="23:28">
      <c r="AB188" s="71"/>
    </row>
    <row r="189" spans="23:28">
      <c r="AB189" s="71"/>
    </row>
    <row r="190" spans="23:28">
      <c r="W190" s="72"/>
      <c r="AB190" s="71"/>
    </row>
    <row r="191" spans="23:28">
      <c r="W191" s="72"/>
    </row>
    <row r="192" spans="23:28">
      <c r="W192" s="72"/>
    </row>
    <row r="199" spans="23:23">
      <c r="W199" s="72"/>
    </row>
    <row r="200" spans="23:23">
      <c r="W200" s="72"/>
    </row>
    <row r="201" spans="23:23">
      <c r="W201" s="72"/>
    </row>
    <row r="211" spans="23:23">
      <c r="W211" s="72"/>
    </row>
    <row r="212" spans="23:23">
      <c r="W212" s="72"/>
    </row>
    <row r="213" spans="23:23">
      <c r="W213" s="72"/>
    </row>
    <row r="220" spans="23:23">
      <c r="W220" s="72"/>
    </row>
    <row r="221" spans="23:23">
      <c r="W221" s="72"/>
    </row>
    <row r="222" spans="23:23">
      <c r="W222" s="72"/>
    </row>
    <row r="229" spans="23:23">
      <c r="W229" s="72"/>
    </row>
    <row r="230" spans="23:23">
      <c r="W230" s="72"/>
    </row>
    <row r="231" spans="23:23">
      <c r="W231" s="72"/>
    </row>
    <row r="241" spans="23:23">
      <c r="W241" s="72"/>
    </row>
    <row r="242" spans="23:23">
      <c r="W242" s="72"/>
    </row>
    <row r="243" spans="23:23">
      <c r="W243" s="72"/>
    </row>
    <row r="250" spans="23:23">
      <c r="W250" s="72"/>
    </row>
    <row r="251" spans="23:23">
      <c r="W251" s="72"/>
    </row>
    <row r="252" spans="23:23">
      <c r="W252" s="72"/>
    </row>
    <row r="259" spans="23:23">
      <c r="W259" s="72"/>
    </row>
    <row r="260" spans="23:23">
      <c r="W260" s="72"/>
    </row>
    <row r="261" spans="23:23">
      <c r="W26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40" val="1" numFmtId="9"/>
      <inputCells r="F41" val="2" numFmtId="9"/>
      <inputCells r="F42" val="1.25" numFmtId="9"/>
      <inputCells r="F46" val="1" numFmtId="9"/>
      <inputCells r="F47" val="0.4" numFmtId="9"/>
      <inputCells r="F48" val="1" numFmtId="9"/>
      <inputCells r="F61" val="1" numFmtId="9"/>
      <inputCells r="F39" val="2.5" numFmtId="9"/>
      <inputCells r="G39" val="2" numFmtId="9"/>
      <inputCells r="F6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39" val="1" numFmtId="9"/>
      <inputCells r="F40" val="1" numFmtId="9"/>
      <inputCells r="F41" val="1" numFmtId="9"/>
      <inputCells r="F42" val="1" numFmtId="9"/>
      <inputCells r="F46" val="1" numFmtId="9"/>
      <inputCells r="F47" val="1" numFmtId="9"/>
      <inputCells r="F48" val="1" numFmtId="9"/>
      <inputCells r="F61" val="1" numFmtId="9"/>
      <inputCells r="G39" val="1" numFmtId="9"/>
      <inputCells r="F67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1" priority="113" operator="equal">
      <formula>16</formula>
    </cfRule>
    <cfRule type="cellIs" dxfId="190" priority="114" operator="equal">
      <formula>15</formula>
    </cfRule>
    <cfRule type="cellIs" dxfId="189" priority="115" operator="equal">
      <formula>14</formula>
    </cfRule>
    <cfRule type="cellIs" dxfId="188" priority="116" operator="equal">
      <formula>13</formula>
    </cfRule>
    <cfRule type="cellIs" dxfId="187" priority="117" operator="equal">
      <formula>12</formula>
    </cfRule>
    <cfRule type="cellIs" dxfId="186" priority="118" operator="equal">
      <formula>11</formula>
    </cfRule>
    <cfRule type="cellIs" dxfId="185" priority="119" operator="equal">
      <formula>10</formula>
    </cfRule>
    <cfRule type="cellIs" dxfId="184" priority="120" operator="equal">
      <formula>9</formula>
    </cfRule>
    <cfRule type="cellIs" dxfId="183" priority="121" operator="equal">
      <formula>8</formula>
    </cfRule>
    <cfRule type="cellIs" dxfId="182" priority="122" operator="equal">
      <formula>7</formula>
    </cfRule>
    <cfRule type="cellIs" dxfId="181" priority="123" operator="equal">
      <formula>6</formula>
    </cfRule>
    <cfRule type="cellIs" dxfId="180" priority="124" operator="equal">
      <formula>5</formula>
    </cfRule>
    <cfRule type="cellIs" dxfId="179" priority="125" operator="equal">
      <formula>4</formula>
    </cfRule>
    <cfRule type="cellIs" dxfId="178" priority="126" operator="equal">
      <formula>3</formula>
    </cfRule>
    <cfRule type="cellIs" dxfId="177" priority="127" operator="equal">
      <formula>2</formula>
    </cfRule>
    <cfRule type="cellIs" dxfId="176" priority="128" operator="equal">
      <formula>1</formula>
    </cfRule>
  </conditionalFormatting>
  <conditionalFormatting sqref="N31">
    <cfRule type="cellIs" dxfId="175" priority="97" operator="equal">
      <formula>16</formula>
    </cfRule>
    <cfRule type="cellIs" dxfId="174" priority="98" operator="equal">
      <formula>15</formula>
    </cfRule>
    <cfRule type="cellIs" dxfId="173" priority="99" operator="equal">
      <formula>14</formula>
    </cfRule>
    <cfRule type="cellIs" dxfId="172" priority="100" operator="equal">
      <formula>13</formula>
    </cfRule>
    <cfRule type="cellIs" dxfId="171" priority="101" operator="equal">
      <formula>12</formula>
    </cfRule>
    <cfRule type="cellIs" dxfId="170" priority="102" operator="equal">
      <formula>11</formula>
    </cfRule>
    <cfRule type="cellIs" dxfId="169" priority="103" operator="equal">
      <formula>10</formula>
    </cfRule>
    <cfRule type="cellIs" dxfId="168" priority="104" operator="equal">
      <formula>9</formula>
    </cfRule>
    <cfRule type="cellIs" dxfId="167" priority="105" operator="equal">
      <formula>8</formula>
    </cfRule>
    <cfRule type="cellIs" dxfId="166" priority="106" operator="equal">
      <formula>7</formula>
    </cfRule>
    <cfRule type="cellIs" dxfId="165" priority="107" operator="equal">
      <formula>6</formula>
    </cfRule>
    <cfRule type="cellIs" dxfId="164" priority="108" operator="equal">
      <formula>5</formula>
    </cfRule>
    <cfRule type="cellIs" dxfId="163" priority="109" operator="equal">
      <formula>4</formula>
    </cfRule>
    <cfRule type="cellIs" dxfId="162" priority="110" operator="equal">
      <formula>3</formula>
    </cfRule>
    <cfRule type="cellIs" dxfId="161" priority="111" operator="equal">
      <formula>2</formula>
    </cfRule>
    <cfRule type="cellIs" dxfId="160" priority="112" operator="equal">
      <formula>1</formula>
    </cfRule>
  </conditionalFormatting>
  <conditionalFormatting sqref="N105:N110">
    <cfRule type="cellIs" dxfId="159" priority="49" operator="equal">
      <formula>16</formula>
    </cfRule>
    <cfRule type="cellIs" dxfId="158" priority="50" operator="equal">
      <formula>15</formula>
    </cfRule>
    <cfRule type="cellIs" dxfId="157" priority="51" operator="equal">
      <formula>14</formula>
    </cfRule>
    <cfRule type="cellIs" dxfId="156" priority="52" operator="equal">
      <formula>13</formula>
    </cfRule>
    <cfRule type="cellIs" dxfId="155" priority="53" operator="equal">
      <formula>12</formula>
    </cfRule>
    <cfRule type="cellIs" dxfId="154" priority="54" operator="equal">
      <formula>11</formula>
    </cfRule>
    <cfRule type="cellIs" dxfId="153" priority="55" operator="equal">
      <formula>10</formula>
    </cfRule>
    <cfRule type="cellIs" dxfId="152" priority="56" operator="equal">
      <formula>9</formula>
    </cfRule>
    <cfRule type="cellIs" dxfId="151" priority="57" operator="equal">
      <formula>8</formula>
    </cfRule>
    <cfRule type="cellIs" dxfId="150" priority="58" operator="equal">
      <formula>7</formula>
    </cfRule>
    <cfRule type="cellIs" dxfId="149" priority="59" operator="equal">
      <formula>6</formula>
    </cfRule>
    <cfRule type="cellIs" dxfId="148" priority="60" operator="equal">
      <formula>5</formula>
    </cfRule>
    <cfRule type="cellIs" dxfId="147" priority="61" operator="equal">
      <formula>4</formula>
    </cfRule>
    <cfRule type="cellIs" dxfId="146" priority="62" operator="equal">
      <formula>3</formula>
    </cfRule>
    <cfRule type="cellIs" dxfId="145" priority="63" operator="equal">
      <formula>2</formula>
    </cfRule>
    <cfRule type="cellIs" dxfId="144" priority="64" operator="equal">
      <formula>1</formula>
    </cfRule>
  </conditionalFormatting>
  <conditionalFormatting sqref="N6:N30">
    <cfRule type="cellIs" dxfId="143" priority="33" operator="equal">
      <formula>16</formula>
    </cfRule>
    <cfRule type="cellIs" dxfId="142" priority="34" operator="equal">
      <formula>15</formula>
    </cfRule>
    <cfRule type="cellIs" dxfId="141" priority="35" operator="equal">
      <formula>14</formula>
    </cfRule>
    <cfRule type="cellIs" dxfId="140" priority="36" operator="equal">
      <formula>13</formula>
    </cfRule>
    <cfRule type="cellIs" dxfId="139" priority="37" operator="equal">
      <formula>12</formula>
    </cfRule>
    <cfRule type="cellIs" dxfId="138" priority="38" operator="equal">
      <formula>11</formula>
    </cfRule>
    <cfRule type="cellIs" dxfId="137" priority="39" operator="equal">
      <formula>10</formula>
    </cfRule>
    <cfRule type="cellIs" dxfId="136" priority="40" operator="equal">
      <formula>9</formula>
    </cfRule>
    <cfRule type="cellIs" dxfId="135" priority="41" operator="equal">
      <formula>8</formula>
    </cfRule>
    <cfRule type="cellIs" dxfId="134" priority="42" operator="equal">
      <formula>7</formula>
    </cfRule>
    <cfRule type="cellIs" dxfId="133" priority="43" operator="equal">
      <formula>6</formula>
    </cfRule>
    <cfRule type="cellIs" dxfId="132" priority="44" operator="equal">
      <formula>5</formula>
    </cfRule>
    <cfRule type="cellIs" dxfId="131" priority="45" operator="equal">
      <formula>4</formula>
    </cfRule>
    <cfRule type="cellIs" dxfId="130" priority="46" operator="equal">
      <formula>3</formula>
    </cfRule>
    <cfRule type="cellIs" dxfId="129" priority="47" operator="equal">
      <formula>2</formula>
    </cfRule>
    <cfRule type="cellIs" dxfId="128" priority="48" operator="equal">
      <formula>1</formula>
    </cfRule>
  </conditionalFormatting>
  <conditionalFormatting sqref="N88:N101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102:N104">
    <cfRule type="cellIs" dxfId="111" priority="1" operator="equal">
      <formula>16</formula>
    </cfRule>
    <cfRule type="cellIs" dxfId="110" priority="2" operator="equal">
      <formula>15</formula>
    </cfRule>
    <cfRule type="cellIs" dxfId="109" priority="3" operator="equal">
      <formula>14</formula>
    </cfRule>
    <cfRule type="cellIs" dxfId="108" priority="4" operator="equal">
      <formula>13</formula>
    </cfRule>
    <cfRule type="cellIs" dxfId="107" priority="5" operator="equal">
      <formula>12</formula>
    </cfRule>
    <cfRule type="cellIs" dxfId="106" priority="6" operator="equal">
      <formula>11</formula>
    </cfRule>
    <cfRule type="cellIs" dxfId="105" priority="7" operator="equal">
      <formula>10</formula>
    </cfRule>
    <cfRule type="cellIs" dxfId="104" priority="8" operator="equal">
      <formula>9</formula>
    </cfRule>
    <cfRule type="cellIs" dxfId="103" priority="9" operator="equal">
      <formula>8</formula>
    </cfRule>
    <cfRule type="cellIs" dxfId="102" priority="10" operator="equal">
      <formula>7</formula>
    </cfRule>
    <cfRule type="cellIs" dxfId="101" priority="11" operator="equal">
      <formula>6</formula>
    </cfRule>
    <cfRule type="cellIs" dxfId="100" priority="12" operator="equal">
      <formula>5</formula>
    </cfRule>
    <cfRule type="cellIs" dxfId="99" priority="13" operator="equal">
      <formula>4</formula>
    </cfRule>
    <cfRule type="cellIs" dxfId="98" priority="14" operator="equal">
      <formula>3</formula>
    </cfRule>
    <cfRule type="cellIs" dxfId="97" priority="15" operator="equal">
      <formula>2</formula>
    </cfRule>
    <cfRule type="cellIs" dxfId="9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09"/>
      <c r="X1" s="113" t="s">
        <v>67</v>
      </c>
      <c r="Y1" s="114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6"/>
      <c r="AI1" s="109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09"/>
      <c r="X2" s="117" t="s">
        <v>59</v>
      </c>
      <c r="Y2" s="114" t="s">
        <v>60</v>
      </c>
      <c r="Z2" s="246" t="str">
        <f>Poor!Z2</f>
        <v>Q1</v>
      </c>
      <c r="AA2" s="247"/>
      <c r="AB2" s="246" t="str">
        <f>Poor!AB2</f>
        <v>Q2</v>
      </c>
      <c r="AC2" s="247"/>
      <c r="AD2" s="246" t="str">
        <f>Poor!AD2</f>
        <v>Q3</v>
      </c>
      <c r="AE2" s="247"/>
      <c r="AF2" s="246" t="str">
        <f>Poor!AF2</f>
        <v>Q4</v>
      </c>
      <c r="AG2" s="247"/>
      <c r="AH2" s="116"/>
      <c r="AI2" s="109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09"/>
      <c r="X3" s="117"/>
      <c r="Y3" s="114" t="s">
        <v>61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09"/>
      <c r="X4" s="117"/>
      <c r="Y4" s="114" t="s">
        <v>62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0">
        <f>IF([1]Summ!$J1044="",0,[1]Summ!$J1044)</f>
        <v>0.11264009962640099</v>
      </c>
      <c r="C6" s="101">
        <f>IF([1]Summ!$K1044="",0,[1]Summ!$K1044)</f>
        <v>0</v>
      </c>
      <c r="D6" s="24">
        <f t="shared" ref="D6:D31" si="0">(B6+C6)</f>
        <v>0.11264009962640099</v>
      </c>
      <c r="E6" s="75">
        <f>Middle!E6</f>
        <v>1</v>
      </c>
      <c r="F6" s="2" t="s">
        <v>21</v>
      </c>
      <c r="H6" s="24">
        <f t="shared" ref="H6:H31" si="1">(E6*F$7/F$9)</f>
        <v>1</v>
      </c>
      <c r="I6" s="22">
        <f t="shared" ref="I6:I31" si="2">(D6*H6)</f>
        <v>0.11264009962640099</v>
      </c>
      <c r="J6" s="24">
        <f t="shared" ref="J6:J31" si="3">IF(I$34&lt;=1+I$123,I6,B6*H6+J$35*(I6-B6*H6))</f>
        <v>0.11264009962640099</v>
      </c>
      <c r="K6" s="22">
        <f t="shared" ref="K6:K33" si="4">B6</f>
        <v>0.11264009962640099</v>
      </c>
      <c r="L6" s="22">
        <f t="shared" ref="L6:L31" si="5">IF(K6="","",K6*H6)</f>
        <v>0.11264009962640099</v>
      </c>
      <c r="M6" s="176">
        <f t="shared" ref="M6:M33" si="6">J6</f>
        <v>0.11264009962640099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4"/>
      <c r="X6" s="117"/>
      <c r="Y6" s="183">
        <f>M6*4</f>
        <v>0.45056039850560398</v>
      </c>
      <c r="Z6" s="155">
        <f>Poor!Z6</f>
        <v>0.17</v>
      </c>
      <c r="AA6" s="120">
        <f>$M6*Z6*4</f>
        <v>7.6595267745952683E-2</v>
      </c>
      <c r="AB6" s="155">
        <f>Poor!AB6</f>
        <v>0.17</v>
      </c>
      <c r="AC6" s="120">
        <f t="shared" ref="AC6:AC31" si="7">$M6*AB6*4</f>
        <v>7.6595267745952683E-2</v>
      </c>
      <c r="AD6" s="155">
        <f>Poor!AD6</f>
        <v>0.33</v>
      </c>
      <c r="AE6" s="120">
        <f t="shared" ref="AE6:AE31" si="8">$M6*AD6*4</f>
        <v>0.14868493150684933</v>
      </c>
      <c r="AF6" s="121">
        <f>1-SUM(Z6,AB6,AD6)</f>
        <v>0.32999999999999996</v>
      </c>
      <c r="AG6" s="120">
        <f>$M6*AF6*4</f>
        <v>0.1486849315068493</v>
      </c>
      <c r="AH6" s="122">
        <f>SUM(Z6,AB6,AD6,AF6)</f>
        <v>1</v>
      </c>
      <c r="AI6" s="183">
        <f>SUM(AA6,AC6,AE6,AG6)/4</f>
        <v>0.11264009962640099</v>
      </c>
      <c r="AJ6" s="119">
        <f>(AA6+AC6)/2</f>
        <v>7.6595267745952683E-2</v>
      </c>
      <c r="AK6" s="118">
        <f>(AE6+AG6)/2</f>
        <v>0.1486849315068493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0">
        <f>IF([1]Summ!$J1045="",0,[1]Summ!$J1045)</f>
        <v>7.5093399750934001E-2</v>
      </c>
      <c r="C7" s="101">
        <f>IF([1]Summ!$K1045="",0,[1]Summ!$K1045)</f>
        <v>0</v>
      </c>
      <c r="D7" s="24">
        <f t="shared" si="0"/>
        <v>7.5093399750934001E-2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7.5093399750934001E-2</v>
      </c>
      <c r="J7" s="24">
        <f t="shared" si="3"/>
        <v>7.5093399750934001E-2</v>
      </c>
      <c r="K7" s="22">
        <f t="shared" si="4"/>
        <v>7.5093399750934001E-2</v>
      </c>
      <c r="L7" s="22">
        <f t="shared" si="5"/>
        <v>7.5093399750934001E-2</v>
      </c>
      <c r="M7" s="176">
        <f t="shared" si="6"/>
        <v>7.5093399750934001E-2</v>
      </c>
      <c r="N7" s="232">
        <v>3</v>
      </c>
      <c r="O7" s="2"/>
      <c r="P7" s="22"/>
      <c r="Q7" s="59" t="s">
        <v>71</v>
      </c>
      <c r="R7" s="225">
        <f>IF($B$78=0,0,(SUMIF($N$6:$N$30,$U7,K$6:K$30)+SUMIF($N$88:$N$110,$U7,K$88:K$110))*$I$80*Poor!$B$78/$B$78)</f>
        <v>2463.542925912378</v>
      </c>
      <c r="S7" s="225">
        <f>IF($B$78=0,0,(SUMIF($N$6:$N$30,$U7,L$6:L$30)+SUMIF($N$88:$N$110,$U7,L$88:L$110))*$I$80*Poor!$B$78/$B$78)</f>
        <v>2463.542925912378</v>
      </c>
      <c r="T7" s="225">
        <f>IF($B$78=0,0,(SUMIF($N$6:$N$30,$U7,M$6:M$30)+SUMIF($N$88:$N$110,$U7,M$88:M$110))*$I$80*Poor!$B$78/$B$78)</f>
        <v>2462.6778002390088</v>
      </c>
      <c r="U7" s="226">
        <v>1</v>
      </c>
      <c r="V7" s="56"/>
      <c r="W7" s="114"/>
      <c r="X7" s="117">
        <f>Poor!X7</f>
        <v>0</v>
      </c>
      <c r="Y7" s="183">
        <f t="shared" ref="Y7:Y31" si="9">M7*4</f>
        <v>0.300373599003736</v>
      </c>
      <c r="Z7" s="124">
        <f>IF($Y7=0,0,AA7/$Y7)</f>
        <v>0</v>
      </c>
      <c r="AA7" s="120">
        <f>IF($X7=1,IF(SUM(AA$6,AA$12:AA$31)&lt;1,IF((1-SUM(AA$6,AA$12:AA$31))*$M7/SUM($M$7*IF($X$7=1,1,0),$M$8*IF($X$8=1,1,0),$M$9*IF($X$9=1,1,0),$M$10*IF($X$10=1,1,0),$M$11*IF($X$11=1,1,0))&lt;Y7,(1-SUM(AA$6,AA$12:AA$31)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$31)&lt;1,IF(SUM(AC$6,AC$12:AC$31)+SUM((Y$7-AA$7)*IF($X$7&lt;3,1,0),(Y$8-AA$8)*IF($X$8&lt;3,1,0),(Y$9-AA$9)*IF($X$9&lt;3,1,0),(Y$10-AA$10)*IF($X$10&lt;3,1,0),(Y$11-AA$11)*IF($X$11&lt;3,1,0))&lt;1,Y7-AA7,IF((1-SUM(AC$6,AC$12:AC$31))*$M7/SUM($M$7*IF($X$7&lt;3,1,0),$M$8*IF($X$8&lt;3,1,0),$M$9*IF($X$9&lt;3,1,0),$M$10*IF($X$10&lt;3,1,0),$M$11*IF($X$11&lt;3,1,0))&lt;Y7-AA7,(1-SUM(AC$6,AC$12:AC$31)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$31)&lt;1,IF(SUM(AE$6:AE$6,AE$12:AE$31)+SUM((Y$7-AA$7-AC$7)*IF($X$7&lt;3,1,0),(Y$8-AA$8-AC$8)*IF($X$8&lt;3,1,0),(Y$9-AA$9-AC$9)*IF($X$9&lt;3,1,0),(Y$10-AA$10-AC$10)*IF($X$10&lt;3,1,0),(Y$11-AA$11-AC$11)*IF($X$11&lt;3,1,0))&lt;1,Y7-AA7-AC7,IF((1-SUM(AE$6:AE$6,AE$12:AE$31))*$M7/SUM($M$7*IF($X$7&lt;4,1,0),$M$8*IF($X$8&lt;4,1,0),$M$9*IF($X$9&lt;4,1,0),$M$10*IF($X$10&lt;4,1,0),$M$11*IF($X$11&lt;4,1,0))&lt;Y7-AA7-AC7,(1-SUM(AE$6:AE$6,AE$12:AE$31))*$M7/SUM($M$7*IF($X$7&lt;4,1,0),$M$8*IF($X$8&lt;4,1,0),$M$9*IF($X$9&lt;4,1,0),$M$10*IF($X$10&lt;4,1,0),$M$11*IF($X$11&lt;4,1,0)),Y7-AA7-AC7)),0),0)</f>
        <v>0</v>
      </c>
      <c r="AF7" s="121">
        <f t="shared" ref="AF7:AF31" si="10">1-SUM(Z7,AB7,AD7)</f>
        <v>1</v>
      </c>
      <c r="AG7" s="120">
        <f t="shared" ref="AG7:AG31" si="11">$M7*AF7*4</f>
        <v>0.300373599003736</v>
      </c>
      <c r="AH7" s="122">
        <f t="shared" ref="AH7:AH32" si="12">SUM(Z7,AB7,AD7,AF7)</f>
        <v>1</v>
      </c>
      <c r="AI7" s="183">
        <f t="shared" ref="AI7:AI32" si="13">SUM(AA7,AC7,AE7,AG7)/4</f>
        <v>7.5093399750934001E-2</v>
      </c>
      <c r="AJ7" s="119">
        <f t="shared" ref="AJ7:AJ33" si="14">(AA7+AC7)/2</f>
        <v>0</v>
      </c>
      <c r="AK7" s="118">
        <f t="shared" ref="AK7:AK33" si="15">(AE7+AG7)/2</f>
        <v>0.150186799501868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0">
        <f>IF([1]Summ!$J1046="",0,[1]Summ!$J1046)</f>
        <v>6.6803808634288087E-2</v>
      </c>
      <c r="C8" s="101">
        <f>IF([1]Summ!$K1046="",0,[1]Summ!$K1046)</f>
        <v>0</v>
      </c>
      <c r="D8" s="24">
        <f t="shared" si="0"/>
        <v>6.6803808634288087E-2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6.6803808634288087E-2</v>
      </c>
      <c r="J8" s="24">
        <f t="shared" si="3"/>
        <v>6.6803808634288087E-2</v>
      </c>
      <c r="K8" s="22">
        <f t="shared" si="4"/>
        <v>6.6803808634288087E-2</v>
      </c>
      <c r="L8" s="22">
        <f t="shared" si="5"/>
        <v>6.6803808634288087E-2</v>
      </c>
      <c r="M8" s="227">
        <f t="shared" si="6"/>
        <v>6.6803808634288087E-2</v>
      </c>
      <c r="N8" s="232">
        <v>3</v>
      </c>
      <c r="O8" s="2"/>
      <c r="P8" s="22"/>
      <c r="Q8" s="59" t="s">
        <v>72</v>
      </c>
      <c r="R8" s="225">
        <f>IF($B$78=0,0,(SUMIF($N$6:$N$30,$U8,K$6:K$30)+SUMIF($N$88:$N$110,$U8,K$88:K$110))*$I$80*Poor!$B$78/$B$78)</f>
        <v>15516.666666666666</v>
      </c>
      <c r="S8" s="225">
        <f>IF($B$78=0,0,(SUMIF($N$6:$N$30,$U8,L$6:L$30)+SUMIF($N$88:$N$110,$U8,L$88:L$110))*$I$80*Poor!$B$78/$B$78)</f>
        <v>14384.125</v>
      </c>
      <c r="T8" s="225">
        <f>IF($B$78=0,0,(SUMIF($N$6:$N$30,$U8,M$6:M$30)+SUMIF($N$88:$N$110,$U8,M$88:M$110))*$I$80*Poor!$B$78/$B$78)</f>
        <v>14385.598126792416</v>
      </c>
      <c r="U8" s="226">
        <v>2</v>
      </c>
      <c r="V8" s="56"/>
      <c r="W8" s="114"/>
      <c r="X8" s="117">
        <f>Poor!X8</f>
        <v>0</v>
      </c>
      <c r="Y8" s="183">
        <f t="shared" si="9"/>
        <v>0.26721523453715235</v>
      </c>
      <c r="Z8" s="124">
        <f>IF($Y8=0,0,AA8/$Y8)</f>
        <v>0</v>
      </c>
      <c r="AA8" s="120">
        <f>IF($X8=1,IF(SUM(AA$6,AA$12:AA$31)&lt;1,IF((1-SUM(AA$6,AA$12:AA$31))*$M8/SUM($M$7*IF($X$7=1,1,0),$M$8*IF($X$8=1,1,0),$M$9*IF($X$9=1,1,0),$M$10*IF($X$10=1,1,0),$M$11*IF($X$11=1,1,0))&lt;Y8,(1-SUM(AA$6,AA$12:AA$31))*$M8/SUM($M$7*IF($X$7=1,1,0),$M$8*IF($X$8=1,1,0),$M$9*IF($X$9=1,1,0),$M$10*IF($X$10=1,1,0),$M$11*IF($X$11=1,1,0)),Y8),0),0)</f>
        <v>0</v>
      </c>
      <c r="AB8" s="124">
        <f>IF($Y8=0,0,AC8/$Y8)</f>
        <v>0</v>
      </c>
      <c r="AC8" s="120">
        <f>IF($X8&lt;3,IF(SUM(AC$6,AC$12:AC$31)&lt;1,IF(SUM(AC$6,AC$12:AC$31)+SUM((Y$7-AA$7)*IF($X$7&lt;3,1,0),(Y$8-AA$8)*IF($X$8&lt;3,1,0),(Y$9-AA$9)*IF($X$9&lt;3,1,0),(Y$10-AA$10)*IF($X$10&lt;3,1,0),(Y$11-AA$11)*IF($X$11&lt;3,1,0))&lt;1,Y8-AA8,IF((1-SUM(AC$6,AC$12:AC$31))*$M8/SUM($M$7*IF($X$7&lt;3,1,0),$M$8*IF($X$8&lt;3,1,0),$M$9*IF($X$9&lt;3,1,0),$M$10*IF($X$10&lt;3,1,0),$M$11*IF($X$11&lt;3,1,0))&lt;Y8-AA8,(1-SUM(AC$6,AC$12:AC$31))*$M8/SUM($M$7*IF($X$7&lt;3,1,0),$M$8*IF($X$8&lt;3,1,0),$M$9*IF($X$9&lt;3,1,0),$M$10*IF($X$10&lt;3,1,0),$M$11*IF($X$11&lt;3,1,0)),Y8-AA8)),0),0)</f>
        <v>0</v>
      </c>
      <c r="AD8" s="124">
        <f>IF($Y8=0,0,AE8/$Y8)</f>
        <v>0</v>
      </c>
      <c r="AE8" s="120">
        <f>IF($X8&lt;4,IF(SUM(AE$6:AE$6,AE$12:AE$31)&lt;1,IF(SUM(AE$6:AE$6,AE$12:AE$31)+SUM((Y$7-AA$7-AC$7)*IF($X$7&lt;3,1,0),(Y$8-AA$8-AC$8)*IF($X$8&lt;3,1,0),(Y$9-AA$9-AC$9)*IF($X$9&lt;3,1,0),(Y$10-AA$10-AC$10)*IF($X$10&lt;3,1,0),(Y$11-AA$11-AC$11)*IF($X$11&lt;3,1,0))&lt;1,Y8-AA8-AC8,IF((1-SUM(AE$6:AE$6,AE$12:AE$31))*$M8/SUM($M$7*IF($X$7&lt;4,1,0),$M$8*IF($X$8&lt;4,1,0),$M$9*IF($X$9&lt;4,1,0),$M$10*IF($X$10&lt;4,1,0),$M$11*IF($X$11&lt;4,1,0))&lt;Y8-AA8-AC8,(1-SUM(AE$6:AE$6,AE$12:AE$31))*$M8/SUM($M$7*IF($X$7&lt;4,1,0),$M$8*IF($X$8&lt;4,1,0),$M$9*IF($X$9&lt;4,1,0),$M$10*IF($X$10&lt;4,1,0),$M$11*IF($X$11&lt;4,1,0)),Y8-AA8-AC8)),0),0)</f>
        <v>0</v>
      </c>
      <c r="AF8" s="121">
        <f t="shared" si="10"/>
        <v>1</v>
      </c>
      <c r="AG8" s="120">
        <f t="shared" si="11"/>
        <v>0.26721523453715235</v>
      </c>
      <c r="AH8" s="122">
        <f t="shared" si="12"/>
        <v>1</v>
      </c>
      <c r="AI8" s="183">
        <f t="shared" si="13"/>
        <v>6.6803808634288087E-2</v>
      </c>
      <c r="AJ8" s="119">
        <f t="shared" si="14"/>
        <v>0</v>
      </c>
      <c r="AK8" s="118">
        <f t="shared" si="15"/>
        <v>0.13360761726857617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0">
        <f>IF([1]Summ!$J1047="",0,[1]Summ!$J1047)</f>
        <v>0</v>
      </c>
      <c r="C9" s="101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7">
        <f t="shared" si="6"/>
        <v>0</v>
      </c>
      <c r="N9" s="232">
        <v>1</v>
      </c>
      <c r="O9" s="2"/>
      <c r="P9" s="22"/>
      <c r="Q9" s="59" t="s">
        <v>73</v>
      </c>
      <c r="R9" s="225">
        <f>IF($B$78=0,0,(SUMIF($N$6:$N$30,$U9,K$6:K$30)+SUMIF($N$88:$N$110,$U9,K$88:K$110))*$I$80*Poor!$B$78/$B$78)</f>
        <v>1691.656770616976</v>
      </c>
      <c r="S9" s="225">
        <f>IF($B$78=0,0,(SUMIF($N$6:$N$30,$U9,L$6:L$30)+SUMIF($N$88:$N$110,$U9,L$88:L$110))*$I$80*Poor!$B$78/$B$78)</f>
        <v>1691.656770616976</v>
      </c>
      <c r="T9" s="225">
        <f>IF($B$78=0,0,(SUMIF($N$6:$N$30,$U9,M$6:M$30)+SUMIF($N$88:$N$110,$U9,M$88:M$110))*$I$80*Poor!$B$78/$B$78)</f>
        <v>1691.656770616976</v>
      </c>
      <c r="U9" s="226">
        <v>3</v>
      </c>
      <c r="V9" s="56"/>
      <c r="W9" s="114"/>
      <c r="X9" s="117">
        <f>Poor!X9</f>
        <v>4</v>
      </c>
      <c r="Y9" s="183">
        <f t="shared" si="9"/>
        <v>0</v>
      </c>
      <c r="Z9" s="124">
        <f>IF($Y9=0,0,AA9/$Y9)</f>
        <v>0</v>
      </c>
      <c r="AA9" s="120">
        <f>IF($X9=1,IF(SUM(AA$6,AA$12:AA$31)&lt;1,IF((1-SUM(AA$6,AA$12:AA$31))*$M9/SUM($M$7*IF($X$7=1,1,0),$M$8*IF($X$8=1,1,0),$M$9*IF($X$9=1,1,0),$M$10*IF($X$10=1,1,0),$M$11*IF($X$11=1,1,0))&lt;Y9,(1-SUM(AA$6,AA$12:AA$31))*$M9/SUM($M$7*IF($X$7=1,1,0),$M$8*IF($X$8=1,1,0),$M$9*IF($X$9=1,1,0),$M$10*IF($X$10=1,1,0),$M$11*IF($X$11=1,1,0)),Y9),0),0)</f>
        <v>0</v>
      </c>
      <c r="AB9" s="124">
        <f>IF($Y9=0,0,AC9/$Y9)</f>
        <v>0</v>
      </c>
      <c r="AC9" s="120">
        <f>IF($X9&lt;3,IF(SUM(AC$6,AC$12:AC$31)&lt;1,IF(SUM(AC$6,AC$12:AC$31)+SUM((Y$7-AA$7)*IF($X$7&lt;3,1,0),(Y$8-AA$8)*IF($X$8&lt;3,1,0),(Y$9-AA$9)*IF($X$9&lt;3,1,0),(Y$10-AA$10)*IF($X$10&lt;3,1,0),(Y$11-AA$11)*IF($X$11&lt;3,1,0))&lt;1,Y9-AA9,IF((1-SUM(AC$6,AC$12:AC$31))*$M9/SUM($M$7*IF($X$7&lt;3,1,0),$M$8*IF($X$8&lt;3,1,0),$M$9*IF($X$9&lt;3,1,0),$M$10*IF($X$10&lt;3,1,0),$M$11*IF($X$11&lt;3,1,0))&lt;Y9-AA9,(1-SUM(AC$6,AC$12:AC$31))*$M9/SUM($M$7*IF($X$7&lt;3,1,0),$M$8*IF($X$8&lt;3,1,0),$M$9*IF($X$9&lt;3,1,0),$M$10*IF($X$10&lt;3,1,0),$M$11*IF($X$11&lt;3,1,0)),Y9-AA9)),0),0)</f>
        <v>0</v>
      </c>
      <c r="AD9" s="124">
        <f>IF($Y9=0,0,AE9/$Y9)</f>
        <v>0</v>
      </c>
      <c r="AE9" s="120">
        <f>IF($X9&lt;4,IF(SUM(AE$6:AE$6,AE$12:AE$31)&lt;1,IF(SUM(AE$6:AE$6,AE$12:AE$31)+SUM((Y$7-AA$7-AC$7)*IF($X$7&lt;3,1,0),(Y$8-AA$8-AC$8)*IF($X$8&lt;3,1,0),(Y$9-AA$9-AC$9)*IF($X$9&lt;3,1,0),(Y$10-AA$10-AC$10)*IF($X$10&lt;3,1,0),(Y$11-AA$11-AC$11)*IF($X$11&lt;3,1,0))&lt;1,Y9-AA9-AC9,IF((1-SUM(AE$6:AE$6,AE$12:AE$31))*$M9/SUM($M$7*IF($X$7&lt;4,1,0),$M$8*IF($X$8&lt;4,1,0),$M$9*IF($X$9&lt;4,1,0),$M$10*IF($X$10&lt;4,1,0),$M$11*IF($X$11&lt;4,1,0))&lt;Y9-AA9-AC9,(1-SUM(AE$6:AE$6,AE$12:AE$31))*$M9/SUM($M$7*IF($X$7&lt;4,1,0),$M$8*IF($X$8&lt;4,1,0),$M$9*IF($X$9&lt;4,1,0),$M$10*IF($X$10&lt;4,1,0),$M$11*IF($X$11&lt;4,1,0)),Y9-AA9-AC9)),0),0)</f>
        <v>0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3">
        <f t="shared" si="13"/>
        <v>0</v>
      </c>
      <c r="AJ9" s="119">
        <f t="shared" si="14"/>
        <v>0</v>
      </c>
      <c r="AK9" s="118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0">
        <f>IF([1]Summ!$J1048="",0,[1]Summ!$J1048)</f>
        <v>0.12617753424657532</v>
      </c>
      <c r="C10" s="101">
        <f>IF([1]Summ!$K1048="",0,[1]Summ!$K1048)</f>
        <v>0.6308876712328767</v>
      </c>
      <c r="D10" s="24">
        <f t="shared" si="0"/>
        <v>0.757065205479452</v>
      </c>
      <c r="E10" s="75">
        <f>Middle!E10</f>
        <v>1</v>
      </c>
      <c r="H10" s="24">
        <f t="shared" si="1"/>
        <v>1</v>
      </c>
      <c r="I10" s="22">
        <f t="shared" si="2"/>
        <v>0.757065205479452</v>
      </c>
      <c r="J10" s="24">
        <f t="shared" si="3"/>
        <v>0.12610805392013555</v>
      </c>
      <c r="K10" s="22">
        <f t="shared" si="4"/>
        <v>0.12617753424657532</v>
      </c>
      <c r="L10" s="22">
        <f t="shared" si="5"/>
        <v>0.12617753424657532</v>
      </c>
      <c r="M10" s="227">
        <f t="shared" si="6"/>
        <v>0.12610805392013555</v>
      </c>
      <c r="N10" s="232">
        <v>1</v>
      </c>
      <c r="O10" s="2"/>
      <c r="P10" s="22"/>
      <c r="Q10" s="59" t="s">
        <v>74</v>
      </c>
      <c r="R10" s="225">
        <f>IF($B$78=0,0,(SUMIF($N$6:$N$30,$U10,K$6:K$30)+SUMIF($N$88:$N$110,$U10,K$88:K$110))*$I$80*Poor!$B$78/$B$78)</f>
        <v>0</v>
      </c>
      <c r="S10" s="225">
        <f>IF($B$78=0,0,(SUMIF($N$6:$N$30,$U10,L$6:L$30)+SUMIF($N$88:$N$110,$U10,L$88:L$110))*$I$80*Poor!$B$78/$B$78)</f>
        <v>0</v>
      </c>
      <c r="T10" s="225">
        <f>IF($B$78=0,0,(SUMIF($N$6:$N$30,$U10,M$6:M$30)+SUMIF($N$88:$N$110,$U10,M$88:M$110))*$I$80*Poor!$B$78/$B$78)</f>
        <v>0</v>
      </c>
      <c r="U10" s="226">
        <v>4</v>
      </c>
      <c r="V10" s="56"/>
      <c r="W10" s="114"/>
      <c r="X10" s="117">
        <f>Poor!X10</f>
        <v>1</v>
      </c>
      <c r="Y10" s="183">
        <f t="shared" si="9"/>
        <v>0.5044322156805422</v>
      </c>
      <c r="Z10" s="124">
        <f>IF($Y10=0,0,AA10/$Y10)</f>
        <v>0</v>
      </c>
      <c r="AA10" s="120">
        <f>IF($X10=1,IF(SUM(AA$6,AA$12:AA$31)&lt;1,IF((1-SUM(AA$6,AA$12:AA$31))*$M10/SUM($M$7*IF($X$7=1,1,0),$M$8*IF($X$8=1,1,0),$M$9*IF($X$9=1,1,0),$M$10*IF($X$10=1,1,0),$M$11*IF($X$11=1,1,0))&lt;Y10,(1-SUM(AA$6,AA$12:AA$31))*$M10/SUM($M$7*IF($X$7=1,1,0),$M$8*IF($X$8=1,1,0),$M$9*IF($X$9=1,1,0),$M$10*IF($X$10=1,1,0),$M$11*IF($X$11=1,1,0)),Y10),0),0)</f>
        <v>0</v>
      </c>
      <c r="AB10" s="124">
        <f>IF($Y10=0,0,AC10/$Y10)</f>
        <v>0</v>
      </c>
      <c r="AC10" s="120">
        <f>IF($X10&lt;3,IF(SUM(AC$6,AC$12:AC$31)&lt;1,IF(SUM(AC$6,AC$12:AC$31)+SUM((Y$7-AA$7)*IF($X$7&lt;3,1,0),(Y$8-AA$8)*IF($X$8&lt;3,1,0),(Y$9-AA$9)*IF($X$9&lt;3,1,0),(Y$10-AA$10)*IF($X$10&lt;3,1,0),(Y$11-AA$11)*IF($X$11&lt;3,1,0))&lt;1,Y10-AA10,IF((1-SUM(AC$6,AC$12:AC$31))*$M10/SUM($M$7*IF($X$7&lt;3,1,0),$M$8*IF($X$8&lt;3,1,0),$M$9*IF($X$9&lt;3,1,0),$M$10*IF($X$10&lt;3,1,0),$M$11*IF($X$11&lt;3,1,0))&lt;Y10-AA10,(1-SUM(AC$6,AC$12:AC$31))*$M10/SUM($M$7*IF($X$7&lt;3,1,0),$M$8*IF($X$8&lt;3,1,0),$M$9*IF($X$9&lt;3,1,0),$M$10*IF($X$10&lt;3,1,0),$M$11*IF($X$11&lt;3,1,0)),Y10-AA10)),0),0)</f>
        <v>0</v>
      </c>
      <c r="AD10" s="124">
        <f>IF($Y10=0,0,AE10/$Y10)</f>
        <v>0</v>
      </c>
      <c r="AE10" s="120">
        <f>IF($X10&lt;4,IF(SUM(AE$6:AE$6,AE$12:AE$31)&lt;1,IF(SUM(AE$6:AE$6,AE$12:AE$31)+SUM((Y$7-AA$7-AC$7)*IF($X$7&lt;3,1,0),(Y$8-AA$8-AC$8)*IF($X$8&lt;3,1,0),(Y$9-AA$9-AC$9)*IF($X$9&lt;3,1,0),(Y$10-AA$10-AC$10)*IF($X$10&lt;3,1,0),(Y$11-AA$11-AC$11)*IF($X$11&lt;3,1,0))&lt;1,Y10-AA10-AC10,IF((1-SUM(AE$6:AE$6,AE$12:AE$31))*$M10/SUM($M$7*IF($X$7&lt;4,1,0),$M$8*IF($X$8&lt;4,1,0),$M$9*IF($X$9&lt;4,1,0),$M$10*IF($X$10&lt;4,1,0),$M$11*IF($X$11&lt;4,1,0))&lt;Y10-AA10-AC10,(1-SUM(AE$6:AE$6,AE$12:AE$31))*$M10/SUM($M$7*IF($X$7&lt;4,1,0),$M$8*IF($X$8&lt;4,1,0),$M$9*IF($X$9&lt;4,1,0),$M$10*IF($X$10&lt;4,1,0),$M$11*IF($X$11&lt;4,1,0)),Y10-AA10-AC10)),0),0)</f>
        <v>0</v>
      </c>
      <c r="AF10" s="121">
        <f t="shared" si="10"/>
        <v>1</v>
      </c>
      <c r="AG10" s="120">
        <f t="shared" si="11"/>
        <v>0.5044322156805422</v>
      </c>
      <c r="AH10" s="122">
        <f t="shared" si="12"/>
        <v>1</v>
      </c>
      <c r="AI10" s="183">
        <f t="shared" si="13"/>
        <v>0.12610805392013555</v>
      </c>
      <c r="AJ10" s="119">
        <f t="shared" si="14"/>
        <v>0</v>
      </c>
      <c r="AK10" s="118">
        <f t="shared" si="15"/>
        <v>0.2522161078402711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0">
        <f>IF([1]Summ!$J1049="",0,[1]Summ!$J1049)</f>
        <v>5.914539227895392E-2</v>
      </c>
      <c r="C11" s="101">
        <f>IF([1]Summ!$K1049="",0,[1]Summ!$K1049)</f>
        <v>6.3088418430884183E-2</v>
      </c>
      <c r="D11" s="24">
        <f t="shared" si="0"/>
        <v>0.1222338107098381</v>
      </c>
      <c r="E11" s="75">
        <f>Middle!E11</f>
        <v>1</v>
      </c>
      <c r="H11" s="24">
        <f t="shared" si="1"/>
        <v>1</v>
      </c>
      <c r="I11" s="22">
        <f t="shared" si="2"/>
        <v>0.1222338107098381</v>
      </c>
      <c r="J11" s="24">
        <f t="shared" si="3"/>
        <v>5.9138444284711808E-2</v>
      </c>
      <c r="K11" s="22">
        <f t="shared" si="4"/>
        <v>5.914539227895392E-2</v>
      </c>
      <c r="L11" s="22">
        <f t="shared" si="5"/>
        <v>5.914539227895392E-2</v>
      </c>
      <c r="M11" s="227">
        <f t="shared" si="6"/>
        <v>5.9138444284711808E-2</v>
      </c>
      <c r="N11" s="232">
        <v>1</v>
      </c>
      <c r="O11" s="2"/>
      <c r="P11" s="22"/>
      <c r="Q11" s="59" t="s">
        <v>75</v>
      </c>
      <c r="R11" s="225">
        <f>IF($B$78=0,0,(SUMIF($N$6:$N$30,$U11,K$6:K$30)+SUMIF($N$88:$N$110,$U11,K$88:K$110))*$I$80*Poor!$B$78/$B$78)</f>
        <v>32862.666666666664</v>
      </c>
      <c r="S11" s="225">
        <f>IF($B$78=0,0,(SUMIF($N$6:$N$30,$U11,L$6:L$30)+SUMIF($N$88:$N$110,$U11,L$88:L$110))*$I$80*Poor!$B$78/$B$78)</f>
        <v>32059.416666666672</v>
      </c>
      <c r="T11" s="225">
        <f>IF($B$78=0,0,(SUMIF($N$6:$N$30,$U11,M$6:M$30)+SUMIF($N$88:$N$110,$U11,M$88:M$110))*$I$80*Poor!$B$78/$B$78)</f>
        <v>32059.521704162831</v>
      </c>
      <c r="U11" s="226">
        <v>5</v>
      </c>
      <c r="V11" s="56"/>
      <c r="W11" s="114"/>
      <c r="X11" s="117">
        <f>Poor!X11</f>
        <v>1</v>
      </c>
      <c r="Y11" s="183">
        <f t="shared" si="9"/>
        <v>0.23655377713884723</v>
      </c>
      <c r="Z11" s="124">
        <f>IF($Y11=0,0,AA11/$Y11)</f>
        <v>0</v>
      </c>
      <c r="AA11" s="120">
        <f>IF($X11=1,IF(SUM(AA$6,AA$12:AA$31)&lt;1,IF((1-SUM(AA$6,AA$12:AA$31))*$M11/SUM($M$7*IF($X$7=1,1,0),$M$8*IF($X$8=1,1,0),$M$9*IF($X$9=1,1,0),$M$10*IF($X$10=1,1,0),$M$11*IF($X$11=1,1,0))&lt;Y11,(1-SUM(AA$6,AA$12:AA$31))*$M11/SUM($M$7*IF($X$7=1,1,0),$M$8*IF($X$8=1,1,0),$M$9*IF($X$9=1,1,0),$M$10*IF($X$10=1,1,0),$M$11*IF($X$11=1,1,0)),Y11),0),0)</f>
        <v>0</v>
      </c>
      <c r="AB11" s="124">
        <f>IF($Y11=0,0,AC11/$Y11)</f>
        <v>0</v>
      </c>
      <c r="AC11" s="120">
        <f>IF($X11&lt;3,IF(SUM(AC$6,AC$12:AC$31)&lt;1,IF(SUM(AC$6,AC$12:AC$31)+SUM((Y$7-AA$7)*IF($X$7&lt;3,1,0),(Y$8-AA$8)*IF($X$8&lt;3,1,0),(Y$9-AA$9)*IF($X$9&lt;3,1,0),(Y$10-AA$10)*IF($X$10&lt;3,1,0),(Y$11-AA$11)*IF($X$11&lt;3,1,0))&lt;1,Y11-AA11,IF((1-SUM(AC$6,AC$12:AC$31))*$M11/SUM($M$7*IF($X$7&lt;3,1,0),$M$8*IF($X$8&lt;3,1,0),$M$9*IF($X$9&lt;3,1,0),$M$10*IF($X$10&lt;3,1,0),$M$11*IF($X$11&lt;3,1,0))&lt;Y11-AA11,(1-SUM(AC$6,AC$12:AC$31))*$M11/SUM($M$7*IF($X$7&lt;3,1,0),$M$8*IF($X$8&lt;3,1,0),$M$9*IF($X$9&lt;3,1,0),$M$10*IF($X$10&lt;3,1,0),$M$11*IF($X$11&lt;3,1,0)),Y11-AA11)),0),0)</f>
        <v>0</v>
      </c>
      <c r="AD11" s="124">
        <f>IF($Y11=0,0,AE11/$Y11)</f>
        <v>0</v>
      </c>
      <c r="AE11" s="120">
        <f>IF($X11&lt;4,IF(SUM(AE$6:AE$6,AE$12:AE$31)&lt;1,IF(SUM(AE$6:AE$6,AE$12:AE$31)+SUM((Y$7-AA$7-AC$7)*IF($X$7&lt;3,1,0),(Y$8-AA$8-AC$8)*IF($X$8&lt;3,1,0),(Y$9-AA$9-AC$9)*IF($X$9&lt;3,1,0),(Y$10-AA$10-AC$10)*IF($X$10&lt;3,1,0),(Y$11-AA$11-AC$11)*IF($X$11&lt;3,1,0))&lt;1,Y11-AA11-AC11,IF((1-SUM(AE$6:AE$6,AE$12:AE$31))*$M11/SUM($M$7*IF($X$7&lt;4,1,0),$M$8*IF($X$8&lt;4,1,0),$M$9*IF($X$9&lt;4,1,0),$M$10*IF($X$10&lt;4,1,0),$M$11*IF($X$11&lt;4,1,0))&lt;Y11-AA11-AC11,(1-SUM(AE$6:AE$6,AE$12:AE$31))*$M11/SUM($M$7*IF($X$7&lt;4,1,0),$M$8*IF($X$8&lt;4,1,0),$M$9*IF($X$9&lt;4,1,0),$M$10*IF($X$10&lt;4,1,0),$M$11*IF($X$11&lt;4,1,0)),Y11-AA11-AC11)),0),0)</f>
        <v>0</v>
      </c>
      <c r="AF11" s="121">
        <f t="shared" si="10"/>
        <v>1</v>
      </c>
      <c r="AG11" s="120">
        <f t="shared" si="11"/>
        <v>0.23655377713884723</v>
      </c>
      <c r="AH11" s="122">
        <f t="shared" si="12"/>
        <v>1</v>
      </c>
      <c r="AI11" s="183">
        <f t="shared" si="13"/>
        <v>5.9138444284711808E-2</v>
      </c>
      <c r="AJ11" s="119">
        <f t="shared" si="14"/>
        <v>0</v>
      </c>
      <c r="AK11" s="118">
        <f t="shared" si="15"/>
        <v>0.11827688856942362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0">
        <f>IF([1]Summ!$J1050="",0,[1]Summ!$J1050)</f>
        <v>3.3238916562889159E-2</v>
      </c>
      <c r="C12" s="101">
        <f>IF([1]Summ!$K1050="",0,[1]Summ!$K1050)</f>
        <v>0</v>
      </c>
      <c r="D12" s="24">
        <f t="shared" si="0"/>
        <v>3.3238916562889159E-2</v>
      </c>
      <c r="E12" s="75">
        <f>Middle!E12</f>
        <v>1</v>
      </c>
      <c r="H12" s="24">
        <f t="shared" si="1"/>
        <v>1</v>
      </c>
      <c r="I12" s="22">
        <f t="shared" si="2"/>
        <v>3.3238916562889159E-2</v>
      </c>
      <c r="J12" s="24">
        <f t="shared" si="3"/>
        <v>3.3238916562889159E-2</v>
      </c>
      <c r="K12" s="22">
        <f t="shared" si="4"/>
        <v>3.3238916562889159E-2</v>
      </c>
      <c r="L12" s="22">
        <f t="shared" si="5"/>
        <v>3.3238916562889159E-2</v>
      </c>
      <c r="M12" s="227">
        <f t="shared" si="6"/>
        <v>3.3238916562889159E-2</v>
      </c>
      <c r="N12" s="232">
        <v>1</v>
      </c>
      <c r="O12" s="2"/>
      <c r="P12" s="22"/>
      <c r="Q12" s="125" t="s">
        <v>124</v>
      </c>
      <c r="R12" s="225">
        <f>IF($B$78=0,0,(SUMIF($N$6:$N$30,$U12,K$6:K$30)+SUMIF($N$88:$N$110,$U12,K$88:K$110))*$I$80*Poor!$B$78/$B$78)</f>
        <v>0</v>
      </c>
      <c r="S12" s="225">
        <f>IF($B$78=0,0,(SUMIF($N$6:$N$30,$U12,L$6:L$30)+SUMIF($N$88:$N$110,$U12,L$88:L$110))*$I$80*Poor!$B$78/$B$78)</f>
        <v>0</v>
      </c>
      <c r="T12" s="225">
        <f>IF($B$78=0,0,(SUMIF($N$6:$N$30,$U12,M$6:M$30)+SUMIF($N$88:$N$110,$U12,M$88:M$110))*$I$80*Poor!$B$78/$B$78)</f>
        <v>0</v>
      </c>
      <c r="U12" s="226">
        <v>6</v>
      </c>
      <c r="V12" s="56"/>
      <c r="W12" s="116"/>
      <c r="X12" s="117">
        <f>Poor!X12</f>
        <v>1</v>
      </c>
      <c r="Y12" s="183">
        <f t="shared" si="9"/>
        <v>0.13295566625155664</v>
      </c>
      <c r="Z12" s="155">
        <f>Poor!Z12</f>
        <v>0</v>
      </c>
      <c r="AA12" s="120">
        <f>$M12*Z12*4</f>
        <v>0</v>
      </c>
      <c r="AB12" s="155">
        <f>Poor!AB12</f>
        <v>0</v>
      </c>
      <c r="AC12" s="120">
        <f>$M12*AB12*4</f>
        <v>0</v>
      </c>
      <c r="AD12" s="155">
        <f>Poor!AD12</f>
        <v>0.67</v>
      </c>
      <c r="AE12" s="120">
        <f>$M12*AD12*4</f>
        <v>8.9080296388542951E-2</v>
      </c>
      <c r="AF12" s="121">
        <f>1-SUM(Z12,AB12,AD12)</f>
        <v>0.32999999999999996</v>
      </c>
      <c r="AG12" s="120">
        <f>$M12*AF12*4</f>
        <v>4.3875369863013686E-2</v>
      </c>
      <c r="AH12" s="122">
        <f t="shared" si="12"/>
        <v>1</v>
      </c>
      <c r="AI12" s="183">
        <f t="shared" si="13"/>
        <v>3.3238916562889159E-2</v>
      </c>
      <c r="AJ12" s="119">
        <f t="shared" si="14"/>
        <v>0</v>
      </c>
      <c r="AK12" s="118">
        <f t="shared" si="15"/>
        <v>6.6477833125778318E-2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0">
        <f>IF([1]Summ!$J1051="",0,[1]Summ!$J1051)</f>
        <v>0</v>
      </c>
      <c r="C13" s="101">
        <f>IF([1]Summ!$K1051="",0,[1]Summ!$K1051)</f>
        <v>0.17675282689912825</v>
      </c>
      <c r="D13" s="24">
        <f t="shared" si="0"/>
        <v>0.17675282689912825</v>
      </c>
      <c r="E13" s="75">
        <f>Middle!E13</f>
        <v>1</v>
      </c>
      <c r="H13" s="24">
        <f t="shared" si="1"/>
        <v>1</v>
      </c>
      <c r="I13" s="22">
        <f t="shared" si="2"/>
        <v>0.17675282689912825</v>
      </c>
      <c r="J13" s="24">
        <f t="shared" si="3"/>
        <v>-1.9465975754611232E-5</v>
      </c>
      <c r="K13" s="22">
        <f t="shared" si="4"/>
        <v>0</v>
      </c>
      <c r="L13" s="22">
        <f t="shared" si="5"/>
        <v>0</v>
      </c>
      <c r="M13" s="228">
        <f t="shared" si="6"/>
        <v>-1.9465975754611232E-5</v>
      </c>
      <c r="N13" s="232">
        <v>1</v>
      </c>
      <c r="O13" s="2"/>
      <c r="P13" s="22"/>
      <c r="Q13" s="59" t="s">
        <v>76</v>
      </c>
      <c r="R13" s="225">
        <f>IF($B$78=0,0,(SUMIF($N$6:$N$30,$U13,K$6:K$30)+SUMIF($N$88:$N$110,$U13,K$88:K$110))*$I$80*Poor!$B$78/$B$78)</f>
        <v>0</v>
      </c>
      <c r="S13" s="225">
        <f>IF($B$78=0,0,(SUMIF($N$6:$N$30,$U13,L$6:L$30)+SUMIF($N$88:$N$110,$U13,L$88:L$110))*$I$80*Poor!$B$78/$B$78)</f>
        <v>0</v>
      </c>
      <c r="T13" s="225">
        <f>IF($B$78=0,0,(SUMIF($N$6:$N$30,$U13,M$6:M$30)+SUMIF($N$88:$N$110,$U13,M$88:M$110))*$I$80*Poor!$B$78/$B$78)</f>
        <v>0</v>
      </c>
      <c r="U13" s="226">
        <v>7</v>
      </c>
      <c r="V13" s="56"/>
      <c r="W13" s="109"/>
      <c r="X13" s="117">
        <f>Poor!X13</f>
        <v>1</v>
      </c>
      <c r="Y13" s="183">
        <f t="shared" si="9"/>
        <v>-7.7863903018444928E-5</v>
      </c>
      <c r="Z13" s="155">
        <f>Poor!Z13</f>
        <v>1</v>
      </c>
      <c r="AA13" s="120">
        <f>$M13*Z13*4</f>
        <v>-7.7863903018444928E-5</v>
      </c>
      <c r="AB13" s="155">
        <f>Poor!AB13</f>
        <v>0</v>
      </c>
      <c r="AC13" s="120">
        <f>$M13*AB13*4</f>
        <v>0</v>
      </c>
      <c r="AD13" s="155">
        <f>Poor!AD13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3">
        <f t="shared" si="13"/>
        <v>-1.9465975754611232E-5</v>
      </c>
      <c r="AJ13" s="119">
        <f t="shared" si="14"/>
        <v>-3.8931951509222464E-5</v>
      </c>
      <c r="AK13" s="118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0">
        <f>IF([1]Summ!$J1052="",0,[1]Summ!$J1052)</f>
        <v>1.4890722291407223E-2</v>
      </c>
      <c r="C14" s="101">
        <f>IF([1]Summ!$K1052="",0,[1]Summ!$K1052)</f>
        <v>0</v>
      </c>
      <c r="D14" s="24">
        <f t="shared" si="0"/>
        <v>1.4890722291407223E-2</v>
      </c>
      <c r="E14" s="75">
        <f>Middle!E14</f>
        <v>1</v>
      </c>
      <c r="F14" s="22"/>
      <c r="H14" s="24">
        <f t="shared" si="1"/>
        <v>1</v>
      </c>
      <c r="I14" s="22">
        <f t="shared" si="2"/>
        <v>1.4890722291407223E-2</v>
      </c>
      <c r="J14" s="24">
        <f t="shared" si="3"/>
        <v>1.4890722291407223E-2</v>
      </c>
      <c r="K14" s="22">
        <f t="shared" si="4"/>
        <v>1.4890722291407223E-2</v>
      </c>
      <c r="L14" s="22">
        <f t="shared" si="5"/>
        <v>1.4890722291407223E-2</v>
      </c>
      <c r="M14" s="228">
        <f t="shared" si="6"/>
        <v>1.4890722291407223E-2</v>
      </c>
      <c r="N14" s="232">
        <v>1</v>
      </c>
      <c r="O14" s="2"/>
      <c r="P14" s="22"/>
      <c r="Q14" s="125" t="s">
        <v>77</v>
      </c>
      <c r="R14" s="225">
        <f>IF($B$78=0,0,(SUMIF($N$6:$N$30,$U14,K$6:K$30)+SUMIF($N$88:$N$110,$U14,K$88:K$110))*$I$80*Poor!$B$78/$B$78)</f>
        <v>188160</v>
      </c>
      <c r="S14" s="225">
        <f>IF($B$78=0,0,(SUMIF($N$6:$N$30,$U14,L$6:L$30)+SUMIF($N$88:$N$110,$U14,L$88:L$110))*$I$80*Poor!$B$78/$B$78)</f>
        <v>179760</v>
      </c>
      <c r="T14" s="225">
        <f>IF($B$78=0,0,(SUMIF($N$6:$N$30,$U14,M$6:M$30)+SUMIF($N$88:$N$110,$U14,M$88:M$110))*$I$80*Poor!$B$78/$B$78)</f>
        <v>179760</v>
      </c>
      <c r="U14" s="226">
        <v>8</v>
      </c>
      <c r="V14" s="56"/>
      <c r="W14" s="109"/>
      <c r="X14" s="117">
        <f>Poor!X14</f>
        <v>1</v>
      </c>
      <c r="Y14" s="183">
        <f>M14*4</f>
        <v>5.9562889165628893E-2</v>
      </c>
      <c r="Z14" s="155">
        <f>Poor!Z14</f>
        <v>0</v>
      </c>
      <c r="AA14" s="120">
        <f t="shared" ref="AA14:AA31" si="16">$M14*Z14*4</f>
        <v>0</v>
      </c>
      <c r="AB14" s="155">
        <f>Poor!AB14</f>
        <v>1</v>
      </c>
      <c r="AC14" s="120">
        <f t="shared" si="7"/>
        <v>5.9562889165628893E-2</v>
      </c>
      <c r="AD14" s="155">
        <f>Poor!AD14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3">
        <f>SUM(AA14,AC14,AE14,AG14)/4</f>
        <v>1.4890722291407223E-2</v>
      </c>
      <c r="AJ14" s="119">
        <f t="shared" si="14"/>
        <v>2.9781444582814447E-2</v>
      </c>
      <c r="AK14" s="118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0">
        <f>IF([1]Summ!$J1053="",0,[1]Summ!$J1053)</f>
        <v>4.9501867995018684E-2</v>
      </c>
      <c r="C15" s="101">
        <f>IF([1]Summ!$K1053="",0,[1]Summ!$K1053)</f>
        <v>0.24750933997509336</v>
      </c>
      <c r="D15" s="24">
        <f t="shared" si="0"/>
        <v>0.29701120797011205</v>
      </c>
      <c r="E15" s="75">
        <f>Middle!E15</f>
        <v>1</v>
      </c>
      <c r="F15" s="22"/>
      <c r="H15" s="24">
        <f t="shared" si="1"/>
        <v>1</v>
      </c>
      <c r="I15" s="22">
        <f t="shared" si="2"/>
        <v>0.29701120797011205</v>
      </c>
      <c r="J15" s="24">
        <f t="shared" si="3"/>
        <v>4.9474609529649161E-2</v>
      </c>
      <c r="K15" s="22">
        <f t="shared" si="4"/>
        <v>4.9501867995018684E-2</v>
      </c>
      <c r="L15" s="22">
        <f t="shared" si="5"/>
        <v>4.9501867995018684E-2</v>
      </c>
      <c r="M15" s="229">
        <f t="shared" si="6"/>
        <v>4.9474609529649161E-2</v>
      </c>
      <c r="N15" s="232">
        <v>1</v>
      </c>
      <c r="O15" s="2"/>
      <c r="P15" s="22"/>
      <c r="Q15" s="59" t="s">
        <v>126</v>
      </c>
      <c r="R15" s="225">
        <f>IF($B$78=0,0,(SUMIF($N$6:$N$30,$U15,K$6:K$30)+SUMIF($N$88:$N$110,$U15,K$88:K$110))*$I$80*Poor!$B$78/$B$78)</f>
        <v>0</v>
      </c>
      <c r="S15" s="225">
        <f>IF($B$78=0,0,(SUMIF($N$6:$N$30,$U15,L$6:L$30)+SUMIF($N$88:$N$110,$U15,L$88:L$110))*$I$80*Poor!$B$78/$B$78)</f>
        <v>0</v>
      </c>
      <c r="T15" s="225">
        <f>IF($B$78=0,0,(SUMIF($N$6:$N$30,$U15,M$6:M$30)+SUMIF($N$88:$N$110,$U15,M$88:M$110))*$I$80*Poor!$B$78/$B$78)</f>
        <v>0</v>
      </c>
      <c r="U15" s="226">
        <v>9</v>
      </c>
      <c r="V15" s="56"/>
      <c r="W15" s="109"/>
      <c r="X15" s="117">
        <f>Poor!X15</f>
        <v>1</v>
      </c>
      <c r="Y15" s="183">
        <f t="shared" si="9"/>
        <v>0.19789843811859664</v>
      </c>
      <c r="Z15" s="155">
        <f>Poor!Z15</f>
        <v>0.25</v>
      </c>
      <c r="AA15" s="120">
        <f t="shared" si="16"/>
        <v>4.9474609529649161E-2</v>
      </c>
      <c r="AB15" s="155">
        <f>Poor!AB15</f>
        <v>0.25</v>
      </c>
      <c r="AC15" s="120">
        <f t="shared" si="7"/>
        <v>4.9474609529649161E-2</v>
      </c>
      <c r="AD15" s="155">
        <f>Poor!AD15</f>
        <v>0.25</v>
      </c>
      <c r="AE15" s="120">
        <f t="shared" si="8"/>
        <v>4.9474609529649161E-2</v>
      </c>
      <c r="AF15" s="121">
        <f t="shared" si="10"/>
        <v>0.25</v>
      </c>
      <c r="AG15" s="120">
        <f t="shared" si="11"/>
        <v>4.9474609529649161E-2</v>
      </c>
      <c r="AH15" s="122">
        <f t="shared" si="12"/>
        <v>1</v>
      </c>
      <c r="AI15" s="183">
        <f t="shared" si="13"/>
        <v>4.9474609529649161E-2</v>
      </c>
      <c r="AJ15" s="119">
        <f t="shared" si="14"/>
        <v>4.9474609529649161E-2</v>
      </c>
      <c r="AK15" s="118">
        <f t="shared" si="15"/>
        <v>4.9474609529649161E-2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0">
        <f>IF([1]Summ!$J1054="",0,[1]Summ!$J1054)</f>
        <v>6.0087173100871728E-2</v>
      </c>
      <c r="C16" s="101">
        <f>IF([1]Summ!$K1054="",0,[1]Summ!$K1054)</f>
        <v>6.0087173100871728E-2</v>
      </c>
      <c r="D16" s="24">
        <f t="shared" si="0"/>
        <v>0.12017434620174346</v>
      </c>
      <c r="E16" s="75">
        <f>Middle!E16</f>
        <v>1</v>
      </c>
      <c r="F16" s="22"/>
      <c r="H16" s="24">
        <f t="shared" si="1"/>
        <v>1</v>
      </c>
      <c r="I16" s="22">
        <f t="shared" si="2"/>
        <v>0.12017434620174346</v>
      </c>
      <c r="J16" s="24">
        <f t="shared" si="3"/>
        <v>6.0080555636951832E-2</v>
      </c>
      <c r="K16" s="22">
        <f t="shared" si="4"/>
        <v>6.0087173100871728E-2</v>
      </c>
      <c r="L16" s="22">
        <f t="shared" si="5"/>
        <v>6.0087173100871728E-2</v>
      </c>
      <c r="M16" s="227">
        <f t="shared" si="6"/>
        <v>6.0080555636951832E-2</v>
      </c>
      <c r="N16" s="232">
        <v>1</v>
      </c>
      <c r="O16" s="2"/>
      <c r="P16" s="22"/>
      <c r="Q16" s="125" t="s">
        <v>78</v>
      </c>
      <c r="R16" s="225">
        <f>IF($B$78=0,0,(SUMIF($N$6:$N$30,$U16,K$6:K$30)+SUMIF($N$88:$N$110,$U16,K$88:K$110))*$I$80*Poor!$B$78/$B$78)</f>
        <v>0</v>
      </c>
      <c r="S16" s="225">
        <f>IF($B$78=0,0,(SUMIF($N$6:$N$30,$U16,L$6:L$30)+SUMIF($N$88:$N$110,$U16,L$88:L$110))*$I$80*Poor!$B$78/$B$78)</f>
        <v>0</v>
      </c>
      <c r="T16" s="225">
        <f>IF($B$78=0,0,(SUMIF($N$6:$N$30,$U16,M$6:M$30)+SUMIF($N$88:$N$110,$U16,M$88:M$110))*$I$80*Poor!$B$78/$B$78)</f>
        <v>0</v>
      </c>
      <c r="U16" s="226">
        <v>10</v>
      </c>
      <c r="V16" s="56"/>
      <c r="W16" s="109"/>
      <c r="X16" s="117">
        <f>Poor!X16</f>
        <v>1</v>
      </c>
      <c r="Y16" s="183">
        <f t="shared" si="9"/>
        <v>0.24032222254780733</v>
      </c>
      <c r="Z16" s="155">
        <f>Poor!Z16</f>
        <v>0</v>
      </c>
      <c r="AA16" s="120">
        <f t="shared" si="16"/>
        <v>0</v>
      </c>
      <c r="AB16" s="155">
        <f>Poor!AB16</f>
        <v>0</v>
      </c>
      <c r="AC16" s="120">
        <f t="shared" si="7"/>
        <v>0</v>
      </c>
      <c r="AD16" s="155">
        <f>Poor!AD16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0.24032222254780733</v>
      </c>
      <c r="AH16" s="122">
        <f t="shared" si="12"/>
        <v>1</v>
      </c>
      <c r="AI16" s="183">
        <f t="shared" si="13"/>
        <v>6.0080555636951832E-2</v>
      </c>
      <c r="AJ16" s="119">
        <f t="shared" si="14"/>
        <v>0</v>
      </c>
      <c r="AK16" s="118">
        <f t="shared" si="15"/>
        <v>0.12016111127390366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0">
        <f>IF([1]Summ!$J1055="",0,[1]Summ!$J1055)</f>
        <v>2.7638542963885428E-2</v>
      </c>
      <c r="C17" s="101">
        <f>IF([1]Summ!$K1055="",0,[1]Summ!$K1055)</f>
        <v>3.6503735990037374E-3</v>
      </c>
      <c r="D17" s="24">
        <f t="shared" si="0"/>
        <v>3.1288916562889166E-2</v>
      </c>
      <c r="E17" s="75">
        <f>Middle!E17</f>
        <v>1</v>
      </c>
      <c r="F17" s="22"/>
      <c r="H17" s="24">
        <f t="shared" si="1"/>
        <v>1</v>
      </c>
      <c r="I17" s="22">
        <f t="shared" si="2"/>
        <v>3.1288916562889166E-2</v>
      </c>
      <c r="J17" s="24">
        <f t="shared" si="3"/>
        <v>2.7638140944380451E-2</v>
      </c>
      <c r="K17" s="22">
        <f t="shared" si="4"/>
        <v>2.7638542963885428E-2</v>
      </c>
      <c r="L17" s="22">
        <f t="shared" si="5"/>
        <v>2.7638542963885428E-2</v>
      </c>
      <c r="M17" s="228">
        <f t="shared" si="6"/>
        <v>2.7638140944380451E-2</v>
      </c>
      <c r="N17" s="232">
        <v>1</v>
      </c>
      <c r="O17" s="2"/>
      <c r="P17" s="22"/>
      <c r="Q17" s="125" t="s">
        <v>125</v>
      </c>
      <c r="R17" s="225">
        <f>IF($B$78=0,0,(SUMIF($N$6:$N$30,$U17,K$6:K$30)+SUMIF($N$88:$N$110,$U17,K$88:K$110))*$I$80*Poor!$B$78/$B$78)</f>
        <v>188160</v>
      </c>
      <c r="S17" s="225">
        <f>IF($B$78=0,0,(SUMIF($N$6:$N$30,$U17,L$6:L$30)+SUMIF($N$88:$N$110,$U17,L$88:L$110))*$I$80*Poor!$B$78/$B$78)</f>
        <v>176400</v>
      </c>
      <c r="T17" s="225">
        <f>IF($B$78=0,0,(SUMIF($N$6:$N$30,$U17,M$6:M$30)+SUMIF($N$88:$N$110,$U17,M$88:M$110))*$I$80*Poor!$B$78/$B$78)</f>
        <v>176400</v>
      </c>
      <c r="U17" s="226">
        <v>11</v>
      </c>
      <c r="V17" s="56"/>
      <c r="W17" s="109"/>
      <c r="X17" s="117">
        <f>Poor!X17</f>
        <v>1</v>
      </c>
      <c r="Y17" s="183">
        <f t="shared" si="9"/>
        <v>0.1105525637775218</v>
      </c>
      <c r="Z17" s="155">
        <f>Poor!Z17</f>
        <v>0.29409999999999997</v>
      </c>
      <c r="AA17" s="120">
        <f t="shared" si="16"/>
        <v>3.2513509006969157E-2</v>
      </c>
      <c r="AB17" s="155">
        <f>Poor!AB17</f>
        <v>0.17649999999999999</v>
      </c>
      <c r="AC17" s="120">
        <f t="shared" si="7"/>
        <v>1.9512527506732599E-2</v>
      </c>
      <c r="AD17" s="155">
        <f>Poor!AD17</f>
        <v>0.23530000000000001</v>
      </c>
      <c r="AE17" s="120">
        <f t="shared" si="8"/>
        <v>2.601301825685088E-2</v>
      </c>
      <c r="AF17" s="121">
        <f t="shared" si="10"/>
        <v>0.29410000000000003</v>
      </c>
      <c r="AG17" s="120">
        <f t="shared" si="11"/>
        <v>3.2513509006969164E-2</v>
      </c>
      <c r="AH17" s="122">
        <f t="shared" si="12"/>
        <v>1</v>
      </c>
      <c r="AI17" s="183">
        <f t="shared" si="13"/>
        <v>2.7638140944380454E-2</v>
      </c>
      <c r="AJ17" s="119">
        <f t="shared" si="14"/>
        <v>2.601301825685088E-2</v>
      </c>
      <c r="AK17" s="118">
        <f t="shared" si="15"/>
        <v>2.9263263631910022E-2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0">
        <f>IF([1]Summ!$J1056="",0,[1]Summ!$J1056)</f>
        <v>0</v>
      </c>
      <c r="C18" s="101">
        <f>IF([1]Summ!$K1056="",0,[1]Summ!$K1056)</f>
        <v>0</v>
      </c>
      <c r="D18" s="24">
        <f t="shared" si="0"/>
        <v>0</v>
      </c>
      <c r="E18" s="75">
        <f>Middle!E18</f>
        <v>0.8</v>
      </c>
      <c r="F18" s="22"/>
      <c r="H18" s="24">
        <f t="shared" si="1"/>
        <v>0.8</v>
      </c>
      <c r="I18" s="22">
        <f t="shared" si="2"/>
        <v>0</v>
      </c>
      <c r="J18" s="24">
        <f t="shared" si="3"/>
        <v>0</v>
      </c>
      <c r="K18" s="22">
        <f t="shared" si="4"/>
        <v>0</v>
      </c>
      <c r="L18" s="22">
        <f t="shared" si="5"/>
        <v>0</v>
      </c>
      <c r="M18" s="227">
        <f t="shared" si="6"/>
        <v>0</v>
      </c>
      <c r="N18" s="232">
        <v>6</v>
      </c>
      <c r="O18" s="2"/>
      <c r="P18" s="22"/>
      <c r="Q18" s="59" t="s">
        <v>79</v>
      </c>
      <c r="R18" s="225">
        <f>IF($B$78=0,0,(SUMIF($N$6:$N$30,$U18,K$6:K$30)+SUMIF($N$88:$N$110,$U18,K$88:K$110))*$I$80*Poor!$B$78/$B$78)</f>
        <v>0</v>
      </c>
      <c r="S18" s="225">
        <f>IF($B$78=0,0,(SUMIF($N$6:$N$30,$U18,L$6:L$30)+SUMIF($N$88:$N$110,$U18,L$88:L$110))*$I$80*Poor!$B$78/$B$78)</f>
        <v>0</v>
      </c>
      <c r="T18" s="225">
        <f>IF($B$78=0,0,(SUMIF($N$6:$N$30,$U18,M$6:M$30)+SUMIF($N$88:$N$110,$U18,M$88:M$110))*$I$80*Poor!$B$78/$B$78)</f>
        <v>0</v>
      </c>
      <c r="U18" s="226">
        <v>12</v>
      </c>
      <c r="V18" s="56"/>
      <c r="W18" s="109"/>
      <c r="X18" s="117"/>
      <c r="Y18" s="183">
        <f t="shared" si="9"/>
        <v>0</v>
      </c>
      <c r="Z18" s="155">
        <f>Poor!Z18</f>
        <v>0.25</v>
      </c>
      <c r="AA18" s="120">
        <f t="shared" si="16"/>
        <v>0</v>
      </c>
      <c r="AB18" s="155">
        <f>Poor!AB18</f>
        <v>0.25</v>
      </c>
      <c r="AC18" s="120">
        <f t="shared" si="7"/>
        <v>0</v>
      </c>
      <c r="AD18" s="155">
        <f>Poor!AD18</f>
        <v>0.25</v>
      </c>
      <c r="AE18" s="120">
        <f t="shared" si="8"/>
        <v>0</v>
      </c>
      <c r="AF18" s="121">
        <f t="shared" si="10"/>
        <v>0.25</v>
      </c>
      <c r="AG18" s="120">
        <f t="shared" si="11"/>
        <v>0</v>
      </c>
      <c r="AH18" s="122">
        <f t="shared" si="12"/>
        <v>1</v>
      </c>
      <c r="AI18" s="183">
        <f t="shared" si="13"/>
        <v>0</v>
      </c>
      <c r="AJ18" s="119">
        <f t="shared" si="14"/>
        <v>0</v>
      </c>
      <c r="AK18" s="118">
        <f t="shared" si="15"/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0">
        <f>IF([1]Summ!$J1057="",0,[1]Summ!$J1057)</f>
        <v>0</v>
      </c>
      <c r="C19" s="101">
        <f>IF([1]Summ!$K1057="",0,[1]Summ!$K1057)</f>
        <v>0</v>
      </c>
      <c r="D19" s="24">
        <f t="shared" si="0"/>
        <v>0</v>
      </c>
      <c r="E19" s="75">
        <f>Middle!E19</f>
        <v>0.87</v>
      </c>
      <c r="F19" s="22"/>
      <c r="H19" s="24">
        <f t="shared" si="1"/>
        <v>0.87</v>
      </c>
      <c r="I19" s="22">
        <f t="shared" si="2"/>
        <v>0</v>
      </c>
      <c r="J19" s="24">
        <f t="shared" si="3"/>
        <v>0</v>
      </c>
      <c r="K19" s="22">
        <f t="shared" si="4"/>
        <v>0</v>
      </c>
      <c r="L19" s="22">
        <f t="shared" si="5"/>
        <v>0</v>
      </c>
      <c r="M19" s="229">
        <f t="shared" si="6"/>
        <v>0</v>
      </c>
      <c r="N19" s="232">
        <v>7</v>
      </c>
      <c r="O19" s="2"/>
      <c r="P19" s="22"/>
      <c r="Q19" s="59" t="s">
        <v>80</v>
      </c>
      <c r="R19" s="225">
        <f>IF($B$78=0,0,(SUMIF($N$6:$N$30,$U19,K$6:K$30)+SUMIF($N$88:$N$110,$U19,K$88:K$110))*$I$80*Poor!$B$78/$B$78)</f>
        <v>0</v>
      </c>
      <c r="S19" s="225">
        <f>IF($B$78=0,0,(SUMIF($N$6:$N$30,$U19,L$6:L$30)+SUMIF($N$88:$N$110,$U19,L$88:L$110))*$I$80*Poor!$B$78/$B$78)</f>
        <v>0</v>
      </c>
      <c r="T19" s="225">
        <f>IF($B$78=0,0,(SUMIF($N$6:$N$30,$U19,M$6:M$30)+SUMIF($N$88:$N$110,$U19,M$88:M$110))*$I$80*Poor!$B$78/$B$78)</f>
        <v>0</v>
      </c>
      <c r="U19" s="226">
        <v>13</v>
      </c>
      <c r="V19" s="56"/>
      <c r="W19" s="109"/>
      <c r="X19" s="117"/>
      <c r="Y19" s="183">
        <f t="shared" si="9"/>
        <v>0</v>
      </c>
      <c r="Z19" s="155">
        <f>Poor!Z19</f>
        <v>0.25</v>
      </c>
      <c r="AA19" s="120">
        <f t="shared" si="16"/>
        <v>0</v>
      </c>
      <c r="AB19" s="155">
        <f>Poor!AB19</f>
        <v>0.25</v>
      </c>
      <c r="AC19" s="120">
        <f t="shared" si="7"/>
        <v>0</v>
      </c>
      <c r="AD19" s="155">
        <f>Poor!AD19</f>
        <v>0.25</v>
      </c>
      <c r="AE19" s="120">
        <f t="shared" si="8"/>
        <v>0</v>
      </c>
      <c r="AF19" s="121">
        <f t="shared" si="10"/>
        <v>0.25</v>
      </c>
      <c r="AG19" s="120">
        <f t="shared" si="11"/>
        <v>0</v>
      </c>
      <c r="AH19" s="122">
        <f t="shared" si="12"/>
        <v>1</v>
      </c>
      <c r="AI19" s="183">
        <f t="shared" si="13"/>
        <v>0</v>
      </c>
      <c r="AJ19" s="119">
        <f t="shared" si="14"/>
        <v>0</v>
      </c>
      <c r="AK19" s="118">
        <f t="shared" si="15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Labour: Harvesting</v>
      </c>
      <c r="B20" s="100">
        <f>IF([1]Summ!$J1058="",0,[1]Summ!$J1058)</f>
        <v>0</v>
      </c>
      <c r="C20" s="101">
        <f>IF([1]Summ!$K1058="",0,[1]Summ!$K1058)</f>
        <v>0</v>
      </c>
      <c r="D20" s="24">
        <f t="shared" ref="D20:D29" si="17">(B20+C20)</f>
        <v>0</v>
      </c>
      <c r="E20" s="75">
        <f>Middle!E20</f>
        <v>0.87</v>
      </c>
      <c r="F20" s="22"/>
      <c r="H20" s="24">
        <f t="shared" ref="H20:H29" si="18">(E20*F$7/F$9)</f>
        <v>0.87</v>
      </c>
      <c r="I20" s="22">
        <f t="shared" ref="I20:I29" si="19">(D20*H20)</f>
        <v>0</v>
      </c>
      <c r="J20" s="24">
        <f t="shared" si="3"/>
        <v>0</v>
      </c>
      <c r="K20" s="22">
        <f t="shared" ref="K20:K29" si="20">B20</f>
        <v>0</v>
      </c>
      <c r="L20" s="22">
        <f t="shared" ref="L20:L29" si="21">IF(K20="","",K20*H20)</f>
        <v>0</v>
      </c>
      <c r="M20" s="227">
        <f t="shared" ref="M20:M29" si="22">J20</f>
        <v>0</v>
      </c>
      <c r="N20" s="232">
        <v>7</v>
      </c>
      <c r="O20" s="2"/>
      <c r="P20" s="22"/>
      <c r="Q20" s="59" t="s">
        <v>81</v>
      </c>
      <c r="R20" s="225">
        <f>IF($B$78=0,0,(SUMIF($N$6:$N$30,$U20,K$6:K$30)+SUMIF($N$88:$N$110,$U20,K$88:K$110))*$I$80*Poor!$B$78/$B$78)</f>
        <v>10345.236363636366</v>
      </c>
      <c r="S20" s="225">
        <f>IF($B$78=0,0,(SUMIF($N$6:$N$30,$U20,L$6:L$30)+SUMIF($N$88:$N$110,$U20,L$88:L$110))*$I$80*Poor!$B$78/$B$78)</f>
        <v>10252.868181818187</v>
      </c>
      <c r="T20" s="225">
        <f>IF($B$78=0,0,(SUMIF($N$6:$N$30,$U20,M$6:M$30)+SUMIF($N$88:$N$110,$U20,M$88:M$110))*$I$80*Poor!$B$78/$B$78)</f>
        <v>10252.868181818187</v>
      </c>
      <c r="U20" s="226">
        <v>14</v>
      </c>
      <c r="V20" s="56"/>
      <c r="W20" s="109"/>
      <c r="X20" s="117"/>
      <c r="Y20" s="183">
        <f t="shared" ref="Y20:Y29" si="23">M20*4</f>
        <v>0</v>
      </c>
      <c r="Z20" s="155">
        <f>Poor!Z20</f>
        <v>1.25</v>
      </c>
      <c r="AA20" s="120">
        <f t="shared" ref="AA20:AA29" si="24">$M20*Z20*4</f>
        <v>0</v>
      </c>
      <c r="AB20" s="155">
        <f>Poor!AB20</f>
        <v>1.25</v>
      </c>
      <c r="AC20" s="120">
        <f t="shared" ref="AC20:AC29" si="25">$M20*AB20*4</f>
        <v>0</v>
      </c>
      <c r="AD20" s="155">
        <f>Poor!AD20</f>
        <v>1.25</v>
      </c>
      <c r="AE20" s="120">
        <f t="shared" ref="AE20:AE29" si="26">$M20*AD20*4</f>
        <v>0</v>
      </c>
      <c r="AF20" s="121">
        <f t="shared" ref="AF20:AF29" si="27">1-SUM(Z20,AB20,AD20)</f>
        <v>-2.75</v>
      </c>
      <c r="AG20" s="120">
        <f t="shared" ref="AG20:AG29" si="28">$M20*AF20*4</f>
        <v>0</v>
      </c>
      <c r="AH20" s="122">
        <f t="shared" ref="AH20:AH29" si="29">SUM(Z20,AB20,AD20,AF20)</f>
        <v>1</v>
      </c>
      <c r="AI20" s="183">
        <f t="shared" ref="AI20:AI29" si="30">SUM(AA20,AC20,AE20,AG20)/4</f>
        <v>0</v>
      </c>
      <c r="AJ20" s="119">
        <f t="shared" ref="AJ20:AJ29" si="31">(AA20+AC20)/2</f>
        <v>0</v>
      </c>
      <c r="AK20" s="118">
        <f t="shared" ref="AK20:AK29" si="32">(AE20+AG20)/2</f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Gifts/remittances: cereal</v>
      </c>
      <c r="B21" s="100">
        <f>IF([1]Summ!$J1059="",0,[1]Summ!$J1059)</f>
        <v>0</v>
      </c>
      <c r="C21" s="101">
        <f>IF([1]Summ!$K1059="",0,[1]Summ!$K1059)</f>
        <v>0</v>
      </c>
      <c r="D21" s="24">
        <f t="shared" si="17"/>
        <v>0</v>
      </c>
      <c r="E21" s="75">
        <f>Middle!E21</f>
        <v>1</v>
      </c>
      <c r="F21" s="22"/>
      <c r="H21" s="24">
        <f t="shared" si="18"/>
        <v>1</v>
      </c>
      <c r="I21" s="22">
        <f t="shared" si="19"/>
        <v>0</v>
      </c>
      <c r="J21" s="24">
        <f t="shared" si="3"/>
        <v>0</v>
      </c>
      <c r="K21" s="22">
        <f t="shared" si="20"/>
        <v>0</v>
      </c>
      <c r="L21" s="22">
        <f t="shared" si="21"/>
        <v>0</v>
      </c>
      <c r="M21" s="227">
        <f t="shared" si="22"/>
        <v>0</v>
      </c>
      <c r="N21" s="232">
        <v>13</v>
      </c>
      <c r="O21" s="2"/>
      <c r="P21" s="22"/>
      <c r="Q21" s="59" t="s">
        <v>82</v>
      </c>
      <c r="R21" s="225">
        <f>IF($B$78=0,0,(SUMIF($N$6:$N$30,$U21,K$6:K$30)+SUMIF($N$88:$N$110,$U21,K$88:K$110))*$I$80*Poor!$B$78/$B$78)</f>
        <v>18816</v>
      </c>
      <c r="S21" s="225">
        <f>IF($B$78=0,0,(SUMIF($N$6:$N$30,$U21,L$6:L$30)+SUMIF($N$88:$N$110,$U21,L$88:L$110))*$I$80*Poor!$B$78/$B$78)</f>
        <v>17640.000000000004</v>
      </c>
      <c r="T21" s="225">
        <f>IF($B$78=0,0,(SUMIF($N$6:$N$30,$U21,M$6:M$30)+SUMIF($N$88:$N$110,$U21,M$88:M$110))*$I$80*Poor!$B$78/$B$78)</f>
        <v>17640.000000000004</v>
      </c>
      <c r="U21" s="226">
        <v>15</v>
      </c>
      <c r="V21" s="56"/>
      <c r="W21" s="109"/>
      <c r="X21" s="117"/>
      <c r="Y21" s="183">
        <f t="shared" si="23"/>
        <v>0</v>
      </c>
      <c r="Z21" s="155">
        <f>Poor!Z21</f>
        <v>2.25</v>
      </c>
      <c r="AA21" s="120">
        <f t="shared" si="24"/>
        <v>0</v>
      </c>
      <c r="AB21" s="155">
        <f>Poor!AB21</f>
        <v>2.25</v>
      </c>
      <c r="AC21" s="120">
        <f t="shared" si="25"/>
        <v>0</v>
      </c>
      <c r="AD21" s="155">
        <f>Poor!AD21</f>
        <v>2.25</v>
      </c>
      <c r="AE21" s="120">
        <f t="shared" si="26"/>
        <v>0</v>
      </c>
      <c r="AF21" s="121">
        <f t="shared" si="27"/>
        <v>-5.75</v>
      </c>
      <c r="AG21" s="120">
        <f t="shared" si="28"/>
        <v>0</v>
      </c>
      <c r="AH21" s="122">
        <f t="shared" si="29"/>
        <v>1</v>
      </c>
      <c r="AI21" s="183">
        <f t="shared" si="30"/>
        <v>0</v>
      </c>
      <c r="AJ21" s="119">
        <f t="shared" si="31"/>
        <v>0</v>
      </c>
      <c r="AK21" s="118">
        <f t="shared" si="32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0">
        <f>IF([1]Summ!$J1060="",0,[1]Summ!$J1060)</f>
        <v>0</v>
      </c>
      <c r="C22" s="101">
        <f>IF([1]Summ!$K1060="",0,[1]Summ!$K1060)</f>
        <v>0</v>
      </c>
      <c r="D22" s="24">
        <f t="shared" si="17"/>
        <v>0</v>
      </c>
      <c r="E22" s="75">
        <f>Middle!E22</f>
        <v>1</v>
      </c>
      <c r="F22" s="22"/>
      <c r="H22" s="24">
        <f t="shared" si="18"/>
        <v>1</v>
      </c>
      <c r="I22" s="22">
        <f t="shared" si="19"/>
        <v>0</v>
      </c>
      <c r="J22" s="24">
        <f t="shared" si="3"/>
        <v>0</v>
      </c>
      <c r="K22" s="22">
        <f t="shared" si="20"/>
        <v>0</v>
      </c>
      <c r="L22" s="22">
        <f t="shared" si="21"/>
        <v>0</v>
      </c>
      <c r="M22" s="227">
        <f t="shared" si="22"/>
        <v>0</v>
      </c>
      <c r="N22" s="232"/>
      <c r="O22" s="2"/>
      <c r="P22" s="22"/>
      <c r="Q22" s="59" t="s">
        <v>83</v>
      </c>
      <c r="R22" s="225">
        <f>IF($B$78=0,0,(SUMIF($N$6:$N$30,$U22,K$6:K$30)+SUMIF($N$88:$N$110,$U22,K$88:K$110))*$I$80*Poor!$B$78/$B$78)</f>
        <v>0</v>
      </c>
      <c r="S22" s="225">
        <f>IF($B$78=0,0,(SUMIF($N$6:$N$30,$U22,L$6:L$30)+SUMIF($N$88:$N$110,$U22,L$88:L$110))*$I$80*Poor!$B$78/$B$78)</f>
        <v>0</v>
      </c>
      <c r="T22" s="225">
        <f>IF($B$78=0,0,(SUMIF($N$6:$N$30,$U22,M$6:M$30)+SUMIF($N$88:$N$110,$U22,M$88:M$110))*$I$80*Poor!$B$78/$B$78)</f>
        <v>0</v>
      </c>
      <c r="U22" s="226">
        <v>16</v>
      </c>
      <c r="V22" s="56"/>
      <c r="W22" s="109"/>
      <c r="X22" s="117"/>
      <c r="Y22" s="183">
        <f t="shared" si="23"/>
        <v>0</v>
      </c>
      <c r="Z22" s="155">
        <f>Poor!Z22</f>
        <v>3.25</v>
      </c>
      <c r="AA22" s="120">
        <f t="shared" si="24"/>
        <v>0</v>
      </c>
      <c r="AB22" s="155">
        <f>Poor!AB22</f>
        <v>3.25</v>
      </c>
      <c r="AC22" s="120">
        <f t="shared" si="25"/>
        <v>0</v>
      </c>
      <c r="AD22" s="155">
        <f>Poor!AD22</f>
        <v>3.25</v>
      </c>
      <c r="AE22" s="120">
        <f t="shared" si="26"/>
        <v>0</v>
      </c>
      <c r="AF22" s="121">
        <f t="shared" si="27"/>
        <v>-8.75</v>
      </c>
      <c r="AG22" s="120">
        <f t="shared" si="28"/>
        <v>0</v>
      </c>
      <c r="AH22" s="122">
        <f t="shared" si="29"/>
        <v>1</v>
      </c>
      <c r="AI22" s="183">
        <f t="shared" si="30"/>
        <v>0</v>
      </c>
      <c r="AJ22" s="119">
        <f t="shared" si="31"/>
        <v>0</v>
      </c>
      <c r="AK22" s="118">
        <f t="shared" si="32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0">
        <f>IF([1]Summ!$J1061="",0,[1]Summ!$J1061)</f>
        <v>0</v>
      </c>
      <c r="C23" s="101">
        <f>IF([1]Summ!$K1061="",0,[1]Summ!$K1061)</f>
        <v>0</v>
      </c>
      <c r="D23" s="24">
        <f t="shared" si="17"/>
        <v>0</v>
      </c>
      <c r="E23" s="75">
        <f>Middle!E23</f>
        <v>1</v>
      </c>
      <c r="F23" s="22"/>
      <c r="H23" s="24">
        <f t="shared" si="18"/>
        <v>1</v>
      </c>
      <c r="I23" s="22">
        <f t="shared" si="19"/>
        <v>0</v>
      </c>
      <c r="J23" s="24">
        <f t="shared" si="3"/>
        <v>0</v>
      </c>
      <c r="K23" s="22">
        <f t="shared" si="20"/>
        <v>0</v>
      </c>
      <c r="L23" s="22">
        <f t="shared" si="21"/>
        <v>0</v>
      </c>
      <c r="M23" s="227">
        <f t="shared" si="22"/>
        <v>0</v>
      </c>
      <c r="N23" s="232"/>
      <c r="O23" s="2"/>
      <c r="P23" s="22"/>
      <c r="Q23" s="170" t="s">
        <v>100</v>
      </c>
      <c r="R23" s="178">
        <f>SUM(R7:R22)</f>
        <v>458015.76939349907</v>
      </c>
      <c r="S23" s="178">
        <f>SUM(S7:S22)</f>
        <v>434651.60954501422</v>
      </c>
      <c r="T23" s="178">
        <f>SUM(T7:T22)</f>
        <v>434652.3225836294</v>
      </c>
      <c r="U23" s="56"/>
      <c r="V23" s="56"/>
      <c r="W23" s="109"/>
      <c r="X23" s="117"/>
      <c r="Y23" s="183">
        <f t="shared" si="23"/>
        <v>0</v>
      </c>
      <c r="Z23" s="155">
        <f>Poor!Z23</f>
        <v>4.25</v>
      </c>
      <c r="AA23" s="120">
        <f t="shared" si="24"/>
        <v>0</v>
      </c>
      <c r="AB23" s="155">
        <f>Poor!AB23</f>
        <v>4.25</v>
      </c>
      <c r="AC23" s="120">
        <f t="shared" si="25"/>
        <v>0</v>
      </c>
      <c r="AD23" s="155">
        <f>Poor!AD23</f>
        <v>4.25</v>
      </c>
      <c r="AE23" s="120">
        <f t="shared" si="26"/>
        <v>0</v>
      </c>
      <c r="AF23" s="121">
        <f t="shared" si="27"/>
        <v>-11.75</v>
      </c>
      <c r="AG23" s="120">
        <f t="shared" si="28"/>
        <v>0</v>
      </c>
      <c r="AH23" s="122">
        <f t="shared" si="29"/>
        <v>1</v>
      </c>
      <c r="AI23" s="183">
        <f t="shared" si="30"/>
        <v>0</v>
      </c>
      <c r="AJ23" s="119">
        <f t="shared" si="31"/>
        <v>0</v>
      </c>
      <c r="AK23" s="118">
        <f t="shared" si="32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0">
        <f>IF([1]Summ!$J1062="",0,[1]Summ!$J1062)</f>
        <v>0</v>
      </c>
      <c r="C24" s="101">
        <f>IF([1]Summ!$K1062="",0,[1]Summ!$K1062)</f>
        <v>0</v>
      </c>
      <c r="D24" s="24">
        <f t="shared" si="17"/>
        <v>0</v>
      </c>
      <c r="E24" s="75">
        <f>Middle!E24</f>
        <v>1</v>
      </c>
      <c r="F24" s="22"/>
      <c r="H24" s="24">
        <f t="shared" si="18"/>
        <v>1</v>
      </c>
      <c r="I24" s="22">
        <f t="shared" si="19"/>
        <v>0</v>
      </c>
      <c r="J24" s="24">
        <f t="shared" si="3"/>
        <v>0</v>
      </c>
      <c r="K24" s="22">
        <f t="shared" si="20"/>
        <v>0</v>
      </c>
      <c r="L24" s="22">
        <f t="shared" si="21"/>
        <v>0</v>
      </c>
      <c r="M24" s="227">
        <f t="shared" si="22"/>
        <v>0</v>
      </c>
      <c r="N24" s="232"/>
      <c r="O24" s="2"/>
      <c r="P24" s="22"/>
      <c r="Q24" s="59" t="s">
        <v>136</v>
      </c>
      <c r="R24" s="41">
        <f>IF($B$78=0,0,($B$116*$H$116)+1-($D$31*$H$31)-($D$30*$H$30))*$I$80*Poor!$B$78/$B$78</f>
        <v>29946.919494373287</v>
      </c>
      <c r="S24" s="41">
        <f>IF($B$78=0,0,($B$116*($H$116)+1-($D$31*$H$31)-($D$30*$H$30))*$I$80*Poor!$B$78/$B$78)</f>
        <v>29946.919494373287</v>
      </c>
      <c r="T24" s="41">
        <f>IF($B$78=0,0,($B$116*($H$116)+1-($D$31*$H$31)-($D$30*$H$30))*$I$80*Poor!$B$78/$B$78)</f>
        <v>29946.919494373287</v>
      </c>
      <c r="U24" s="56"/>
      <c r="V24" s="56"/>
      <c r="W24" s="109"/>
      <c r="X24" s="117"/>
      <c r="Y24" s="183">
        <f t="shared" si="23"/>
        <v>0</v>
      </c>
      <c r="Z24" s="155">
        <f>Poor!Z24</f>
        <v>5.25</v>
      </c>
      <c r="AA24" s="120">
        <f t="shared" si="24"/>
        <v>0</v>
      </c>
      <c r="AB24" s="155">
        <f>Poor!AB24</f>
        <v>5.25</v>
      </c>
      <c r="AC24" s="120">
        <f t="shared" si="25"/>
        <v>0</v>
      </c>
      <c r="AD24" s="155">
        <f>Poor!AD24</f>
        <v>5.25</v>
      </c>
      <c r="AE24" s="120">
        <f t="shared" si="26"/>
        <v>0</v>
      </c>
      <c r="AF24" s="121">
        <f t="shared" si="27"/>
        <v>-14.75</v>
      </c>
      <c r="AG24" s="120">
        <f t="shared" si="28"/>
        <v>0</v>
      </c>
      <c r="AH24" s="122">
        <f t="shared" si="29"/>
        <v>1</v>
      </c>
      <c r="AI24" s="183">
        <f t="shared" si="30"/>
        <v>0</v>
      </c>
      <c r="AJ24" s="119">
        <f t="shared" si="31"/>
        <v>0</v>
      </c>
      <c r="AK24" s="118">
        <f t="shared" si="32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0">
        <f>IF([1]Summ!$J1063="",0,[1]Summ!$J1063)</f>
        <v>0</v>
      </c>
      <c r="C25" s="101">
        <f>IF([1]Summ!$K1063="",0,[1]Summ!$K1063)</f>
        <v>0</v>
      </c>
      <c r="D25" s="24">
        <f t="shared" si="17"/>
        <v>0</v>
      </c>
      <c r="E25" s="75">
        <f>Middle!E25</f>
        <v>1</v>
      </c>
      <c r="F25" s="22"/>
      <c r="H25" s="24">
        <f t="shared" si="18"/>
        <v>1</v>
      </c>
      <c r="I25" s="22">
        <f t="shared" si="19"/>
        <v>0</v>
      </c>
      <c r="J25" s="24">
        <f t="shared" si="3"/>
        <v>0</v>
      </c>
      <c r="K25" s="22">
        <f t="shared" si="20"/>
        <v>0</v>
      </c>
      <c r="L25" s="22">
        <f t="shared" si="21"/>
        <v>0</v>
      </c>
      <c r="M25" s="227">
        <f t="shared" si="22"/>
        <v>0</v>
      </c>
      <c r="N25" s="232"/>
      <c r="O25" s="2"/>
      <c r="P25" s="22"/>
      <c r="Q25" s="141" t="s">
        <v>137</v>
      </c>
      <c r="R25" s="41">
        <f>IF($B$78=0,0,($B$67+$B$68+((1-$D$31)*$B$80))*$H$81*Poor!$B$78/$B$78)</f>
        <v>47026.260538266128</v>
      </c>
      <c r="S25" s="41">
        <f>IF($B$78=0,0,(($B$67*$H$67)+($B$68*$H$68)+((1-($D$31*$H$31))*$I$80))*Poor!$B$78/$B$78)</f>
        <v>46631.699494373286</v>
      </c>
      <c r="T25" s="41">
        <f>IF($B$78=0,0,(($B$67*$H$67)+($B$68*$H$68)+((1-($D$31*$H$31))*$I$80))*Poor!$B$78/$B$78)</f>
        <v>46631.699494373286</v>
      </c>
      <c r="U25" s="56"/>
      <c r="V25" s="56"/>
      <c r="W25" s="109"/>
      <c r="X25" s="117"/>
      <c r="Y25" s="183">
        <f t="shared" si="23"/>
        <v>0</v>
      </c>
      <c r="Z25" s="155">
        <f>Poor!Z25</f>
        <v>6.25</v>
      </c>
      <c r="AA25" s="120">
        <f t="shared" si="24"/>
        <v>0</v>
      </c>
      <c r="AB25" s="155">
        <f>Poor!AB25</f>
        <v>6.25</v>
      </c>
      <c r="AC25" s="120">
        <f t="shared" si="25"/>
        <v>0</v>
      </c>
      <c r="AD25" s="155">
        <f>Poor!AD25</f>
        <v>6.25</v>
      </c>
      <c r="AE25" s="120">
        <f t="shared" si="26"/>
        <v>0</v>
      </c>
      <c r="AF25" s="121">
        <f t="shared" si="27"/>
        <v>-17.75</v>
      </c>
      <c r="AG25" s="120">
        <f t="shared" si="28"/>
        <v>0</v>
      </c>
      <c r="AH25" s="122">
        <f t="shared" si="29"/>
        <v>1</v>
      </c>
      <c r="AI25" s="183">
        <f t="shared" si="30"/>
        <v>0</v>
      </c>
      <c r="AJ25" s="119">
        <f t="shared" si="31"/>
        <v>0</v>
      </c>
      <c r="AK25" s="118">
        <f t="shared" si="32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/>
      </c>
      <c r="B26" s="100">
        <f>IF([1]Summ!$J1064="",0,[1]Summ!$J1064)</f>
        <v>0</v>
      </c>
      <c r="C26" s="101">
        <f>IF([1]Summ!$K1064="",0,[1]Summ!$K1064)</f>
        <v>0</v>
      </c>
      <c r="D26" s="24">
        <f t="shared" si="17"/>
        <v>0</v>
      </c>
      <c r="E26" s="75">
        <f>Middle!E26</f>
        <v>1</v>
      </c>
      <c r="F26" s="22"/>
      <c r="H26" s="24">
        <f t="shared" si="18"/>
        <v>1</v>
      </c>
      <c r="I26" s="22">
        <f t="shared" si="19"/>
        <v>0</v>
      </c>
      <c r="J26" s="24">
        <f t="shared" si="3"/>
        <v>0</v>
      </c>
      <c r="K26" s="22">
        <f t="shared" si="20"/>
        <v>0</v>
      </c>
      <c r="L26" s="22">
        <f t="shared" si="21"/>
        <v>0</v>
      </c>
      <c r="M26" s="227">
        <f t="shared" si="22"/>
        <v>0</v>
      </c>
      <c r="N26" s="232"/>
      <c r="O26" s="2"/>
      <c r="P26" s="22"/>
      <c r="Q26" s="59" t="s">
        <v>138</v>
      </c>
      <c r="R26" s="41">
        <f>IF($B$78=0,0,($B$67+$B$68+$B$69+((1-$D$31)*$B$80))*$H$81*Poor!$B$78/$B$78)</f>
        <v>74609.847036350722</v>
      </c>
      <c r="S26" s="41">
        <f>IF($B$78=0,0,(($B$67*$H$67)+($B$68*$H$68)+($B$69*$H$69)+((1-($D$31*$H$31))*$I$80))*Poor!$B$78/$B$78)</f>
        <v>73578.059494373287</v>
      </c>
      <c r="T26" s="41">
        <f>IF($B$78=0,0,(($B$67*$H$67)+($B$68*$H$68)+($B$69*$H$69)+((1-($D$31*$H$31))*$I$80))*Poor!$B$78/$B$78)</f>
        <v>73578.059494373287</v>
      </c>
      <c r="U26" s="56"/>
      <c r="V26" s="56"/>
      <c r="W26" s="109"/>
      <c r="X26" s="117"/>
      <c r="Y26" s="183">
        <f t="shared" si="23"/>
        <v>0</v>
      </c>
      <c r="Z26" s="155">
        <f>Poor!Z26</f>
        <v>7.25</v>
      </c>
      <c r="AA26" s="120">
        <f t="shared" si="24"/>
        <v>0</v>
      </c>
      <c r="AB26" s="155">
        <f>Poor!AB26</f>
        <v>7.25</v>
      </c>
      <c r="AC26" s="120">
        <f t="shared" si="25"/>
        <v>0</v>
      </c>
      <c r="AD26" s="155">
        <f>Poor!AD26</f>
        <v>7.25</v>
      </c>
      <c r="AE26" s="120">
        <f t="shared" si="26"/>
        <v>0</v>
      </c>
      <c r="AF26" s="121">
        <f t="shared" si="27"/>
        <v>-20.75</v>
      </c>
      <c r="AG26" s="120">
        <f t="shared" si="28"/>
        <v>0</v>
      </c>
      <c r="AH26" s="122">
        <f t="shared" si="29"/>
        <v>1</v>
      </c>
      <c r="AI26" s="183">
        <f t="shared" si="30"/>
        <v>0</v>
      </c>
      <c r="AJ26" s="119">
        <f t="shared" si="31"/>
        <v>0</v>
      </c>
      <c r="AK26" s="118">
        <f t="shared" si="32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/>
      </c>
      <c r="B27" s="100">
        <f>IF([1]Summ!$J1065="",0,[1]Summ!$J1065)</f>
        <v>0</v>
      </c>
      <c r="C27" s="101">
        <f>IF([1]Summ!$K1065="",0,[1]Summ!$K1065)</f>
        <v>0</v>
      </c>
      <c r="D27" s="24">
        <f t="shared" si="17"/>
        <v>0</v>
      </c>
      <c r="E27" s="75">
        <f>Middle!E27</f>
        <v>1</v>
      </c>
      <c r="F27" s="22"/>
      <c r="H27" s="24">
        <f t="shared" si="18"/>
        <v>1</v>
      </c>
      <c r="I27" s="22">
        <f t="shared" si="19"/>
        <v>0</v>
      </c>
      <c r="J27" s="24">
        <f t="shared" si="3"/>
        <v>0</v>
      </c>
      <c r="K27" s="22">
        <f t="shared" si="20"/>
        <v>0</v>
      </c>
      <c r="L27" s="22">
        <f t="shared" si="21"/>
        <v>0</v>
      </c>
      <c r="M27" s="227">
        <f t="shared" si="22"/>
        <v>0</v>
      </c>
      <c r="N27" s="232"/>
      <c r="O27" s="2"/>
      <c r="P27" s="22"/>
      <c r="Q27" s="125" t="s">
        <v>139</v>
      </c>
      <c r="R27" s="41">
        <f>IF($B$78=0,0,($B$67+$B$68+$B$69+$B$70+(1-$D$31-$D$30)*$B$80)*$H$81*Poor!$B$78/$B$78)</f>
        <v>177677.12165313645</v>
      </c>
      <c r="S27" s="41">
        <f>IF($B$78=0,0,(($B$67*$H$67)+($B$68*$H$68)+($B$69*$H$69)+($B$70*$H$70)+((1-($D$30*$H$30)-($D$31*$H$31))*$I$80))*Poor!$B$78/$B$78)</f>
        <v>174264.3094943733</v>
      </c>
      <c r="T27" s="41">
        <f>IF($B$78=0,0,(($B$67*$H$67)+($B$68*$H$68)+($B$69*$H$69)+($B$70*$H$70)+((1-($D$30*$H$30)-($D$31*$H$31))*$I$80))*Poor!$B$78/$B$78)</f>
        <v>174264.3094943733</v>
      </c>
      <c r="U27" s="56"/>
      <c r="V27" s="56"/>
      <c r="W27" s="109"/>
      <c r="X27" s="117"/>
      <c r="Y27" s="183">
        <f t="shared" si="23"/>
        <v>0</v>
      </c>
      <c r="Z27" s="155">
        <f>Poor!Z27</f>
        <v>8.25</v>
      </c>
      <c r="AA27" s="120">
        <f t="shared" si="24"/>
        <v>0</v>
      </c>
      <c r="AB27" s="155">
        <f>Poor!AB27</f>
        <v>8.25</v>
      </c>
      <c r="AC27" s="120">
        <f t="shared" si="25"/>
        <v>0</v>
      </c>
      <c r="AD27" s="155">
        <f>Poor!AD27</f>
        <v>8.25</v>
      </c>
      <c r="AE27" s="120">
        <f t="shared" si="26"/>
        <v>0</v>
      </c>
      <c r="AF27" s="121">
        <f t="shared" si="27"/>
        <v>-23.75</v>
      </c>
      <c r="AG27" s="120">
        <f t="shared" si="28"/>
        <v>0</v>
      </c>
      <c r="AH27" s="122">
        <f t="shared" si="29"/>
        <v>1</v>
      </c>
      <c r="AI27" s="183">
        <f t="shared" si="30"/>
        <v>0</v>
      </c>
      <c r="AJ27" s="119">
        <f t="shared" si="31"/>
        <v>0</v>
      </c>
      <c r="AK27" s="118">
        <f t="shared" si="32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Food aid</v>
      </c>
      <c r="B28" s="100">
        <f>IF([1]Summ!$J1066="",0,[1]Summ!$J1066)</f>
        <v>0</v>
      </c>
      <c r="C28" s="101">
        <f>IF([1]Summ!$K1066="",0,[1]Summ!$K1066)</f>
        <v>0</v>
      </c>
      <c r="D28" s="24">
        <f t="shared" si="17"/>
        <v>0</v>
      </c>
      <c r="E28" s="75">
        <f>Middle!E28</f>
        <v>1</v>
      </c>
      <c r="F28" s="22"/>
      <c r="H28" s="24">
        <f t="shared" si="18"/>
        <v>1</v>
      </c>
      <c r="I28" s="22">
        <f t="shared" si="19"/>
        <v>0</v>
      </c>
      <c r="J28" s="24">
        <f t="shared" si="3"/>
        <v>0</v>
      </c>
      <c r="K28" s="22">
        <f t="shared" si="20"/>
        <v>0</v>
      </c>
      <c r="L28" s="22">
        <f t="shared" si="21"/>
        <v>0</v>
      </c>
      <c r="M28" s="227">
        <f t="shared" si="22"/>
        <v>0</v>
      </c>
      <c r="N28" s="232">
        <v>12</v>
      </c>
      <c r="O28" s="2"/>
      <c r="P28" s="22"/>
      <c r="Q28" s="59"/>
      <c r="R28" s="179"/>
      <c r="S28" s="179"/>
      <c r="T28" s="179"/>
      <c r="U28" s="56"/>
      <c r="V28" s="56"/>
      <c r="W28" s="109"/>
      <c r="X28" s="117"/>
      <c r="Y28" s="183">
        <f t="shared" si="23"/>
        <v>0</v>
      </c>
      <c r="Z28" s="155">
        <f>Poor!Z28</f>
        <v>9.25</v>
      </c>
      <c r="AA28" s="120">
        <f t="shared" si="24"/>
        <v>0</v>
      </c>
      <c r="AB28" s="155">
        <f>Poor!AB28</f>
        <v>9.25</v>
      </c>
      <c r="AC28" s="120">
        <f t="shared" si="25"/>
        <v>0</v>
      </c>
      <c r="AD28" s="155">
        <f>Poor!AD28</f>
        <v>9.25</v>
      </c>
      <c r="AE28" s="120">
        <f t="shared" si="26"/>
        <v>0</v>
      </c>
      <c r="AF28" s="121">
        <f t="shared" si="27"/>
        <v>-26.75</v>
      </c>
      <c r="AG28" s="120">
        <f t="shared" si="28"/>
        <v>0</v>
      </c>
      <c r="AH28" s="122">
        <f t="shared" si="29"/>
        <v>1</v>
      </c>
      <c r="AI28" s="183">
        <f t="shared" si="30"/>
        <v>0</v>
      </c>
      <c r="AJ28" s="119">
        <f t="shared" si="31"/>
        <v>0</v>
      </c>
      <c r="AK28" s="118">
        <f t="shared" si="32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other</v>
      </c>
      <c r="B29" s="100">
        <f>IF([1]Summ!$J1067="",0,[1]Summ!$J1067)</f>
        <v>2.4782067247820672E-2</v>
      </c>
      <c r="C29" s="101">
        <f>IF([1]Summ!$K1067="",0,[1]Summ!$K1067)</f>
        <v>-2.4782067247820672E-2</v>
      </c>
      <c r="D29" s="24">
        <f t="shared" si="17"/>
        <v>0</v>
      </c>
      <c r="E29" s="75">
        <f>Middle!E29</f>
        <v>1</v>
      </c>
      <c r="F29" s="22"/>
      <c r="H29" s="24">
        <f t="shared" si="18"/>
        <v>1</v>
      </c>
      <c r="I29" s="22">
        <f t="shared" si="19"/>
        <v>0</v>
      </c>
      <c r="J29" s="24">
        <f t="shared" si="3"/>
        <v>2.4784796523095405E-2</v>
      </c>
      <c r="K29" s="22">
        <f t="shared" si="20"/>
        <v>2.4782067247820672E-2</v>
      </c>
      <c r="L29" s="22">
        <f t="shared" si="21"/>
        <v>2.4782067247820672E-2</v>
      </c>
      <c r="M29" s="227">
        <f t="shared" si="22"/>
        <v>2.4784796523095405E-2</v>
      </c>
      <c r="N29" s="232"/>
      <c r="O29" s="2"/>
      <c r="P29" s="22"/>
      <c r="Q29" s="2"/>
      <c r="R29" s="179"/>
      <c r="S29" s="179"/>
      <c r="T29" s="179"/>
      <c r="U29" s="56"/>
      <c r="V29" s="56"/>
      <c r="W29" s="109"/>
      <c r="X29" s="117"/>
      <c r="Y29" s="183">
        <f t="shared" si="23"/>
        <v>9.913918609238162E-2</v>
      </c>
      <c r="Z29" s="155">
        <f>Poor!Z29</f>
        <v>10.25</v>
      </c>
      <c r="AA29" s="120">
        <f t="shared" si="24"/>
        <v>1.0161766574469115</v>
      </c>
      <c r="AB29" s="155">
        <f>Poor!AB29</f>
        <v>10.25</v>
      </c>
      <c r="AC29" s="120">
        <f t="shared" si="25"/>
        <v>1.0161766574469115</v>
      </c>
      <c r="AD29" s="155">
        <f>Poor!AD29</f>
        <v>10.25</v>
      </c>
      <c r="AE29" s="120">
        <f t="shared" si="26"/>
        <v>1.0161766574469115</v>
      </c>
      <c r="AF29" s="121">
        <f t="shared" si="27"/>
        <v>-29.75</v>
      </c>
      <c r="AG29" s="120">
        <f t="shared" si="28"/>
        <v>-2.9493907862483533</v>
      </c>
      <c r="AH29" s="122">
        <f t="shared" si="29"/>
        <v>1</v>
      </c>
      <c r="AI29" s="183">
        <f t="shared" si="30"/>
        <v>2.4784796523095287E-2</v>
      </c>
      <c r="AJ29" s="119">
        <f t="shared" si="31"/>
        <v>1.0161766574469115</v>
      </c>
      <c r="AK29" s="118">
        <f t="shared" si="32"/>
        <v>-0.96660706440072086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>
      <c r="A30" s="85" t="str">
        <f>IF(Poor!A30=0,"",Poor!A30)</f>
        <v>Purchase - desirable</v>
      </c>
      <c r="B30" s="100">
        <f>IF([1]Summ!$J1068="",0,[1]Summ!$J1068)</f>
        <v>0</v>
      </c>
      <c r="C30" s="101">
        <f>IF([1]Summ!$K1068="",0,[1]Summ!$K1068)</f>
        <v>0</v>
      </c>
      <c r="D30" s="24">
        <f t="shared" si="0"/>
        <v>0</v>
      </c>
      <c r="E30" s="75">
        <f>Middle!E30</f>
        <v>1</v>
      </c>
      <c r="F30" s="22"/>
      <c r="H30" s="24">
        <f t="shared" si="1"/>
        <v>1</v>
      </c>
      <c r="I30" s="22">
        <f t="shared" si="2"/>
        <v>0</v>
      </c>
      <c r="J30" s="24">
        <f t="shared" si="3"/>
        <v>0</v>
      </c>
      <c r="K30" s="22">
        <f t="shared" si="4"/>
        <v>0</v>
      </c>
      <c r="L30" s="22">
        <f t="shared" si="5"/>
        <v>0</v>
      </c>
      <c r="M30" s="227">
        <f t="shared" si="6"/>
        <v>0</v>
      </c>
      <c r="N30" s="232"/>
      <c r="O30" s="2"/>
      <c r="P30" s="22"/>
      <c r="Q30" s="59"/>
      <c r="R30" s="179"/>
      <c r="S30" s="179"/>
      <c r="T30" s="179"/>
      <c r="U30" s="56"/>
      <c r="V30" s="56"/>
      <c r="W30" s="109"/>
      <c r="X30" s="117"/>
      <c r="Y30" s="183">
        <f t="shared" si="9"/>
        <v>0</v>
      </c>
      <c r="Z30" s="155">
        <f>Poor!Z30</f>
        <v>0</v>
      </c>
      <c r="AA30" s="120">
        <f t="shared" si="16"/>
        <v>0</v>
      </c>
      <c r="AB30" s="155">
        <f>Poor!AB30</f>
        <v>0</v>
      </c>
      <c r="AC30" s="120">
        <f t="shared" si="7"/>
        <v>0</v>
      </c>
      <c r="AD30" s="155">
        <f>Poor!AD30</f>
        <v>0.5</v>
      </c>
      <c r="AE30" s="120">
        <f t="shared" si="8"/>
        <v>0</v>
      </c>
      <c r="AF30" s="121">
        <f t="shared" si="10"/>
        <v>0.5</v>
      </c>
      <c r="AG30" s="120">
        <f t="shared" si="11"/>
        <v>0</v>
      </c>
      <c r="AH30" s="122">
        <f t="shared" si="12"/>
        <v>1</v>
      </c>
      <c r="AI30" s="183">
        <f t="shared" si="13"/>
        <v>0</v>
      </c>
      <c r="AJ30" s="119">
        <f t="shared" si="14"/>
        <v>0</v>
      </c>
      <c r="AK30" s="118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>
      <c r="A31" s="85" t="str">
        <f>IF(Poor!A31=0,"",Poor!A31)</f>
        <v>Purchase - fpl non staple</v>
      </c>
      <c r="B31" s="100">
        <f>IF([1]Summ!$J1069="",0,[1]Summ!$J1069)</f>
        <v>0.35166099782067245</v>
      </c>
      <c r="C31" s="101">
        <f>IF([1]Summ!$K1069="",0,[1]Summ!$K1069)</f>
        <v>2.7970349710274758E-2</v>
      </c>
      <c r="D31" s="24">
        <f t="shared" si="0"/>
        <v>0.37963134753094718</v>
      </c>
      <c r="E31" s="75">
        <f>Middle!E31</f>
        <v>1.01</v>
      </c>
      <c r="F31" s="22"/>
      <c r="H31" s="24">
        <f t="shared" si="1"/>
        <v>1.01</v>
      </c>
      <c r="I31" s="22">
        <f t="shared" si="2"/>
        <v>0.38342766100625664</v>
      </c>
      <c r="J31" s="24">
        <f t="shared" si="3"/>
        <v>0.3551744965906431</v>
      </c>
      <c r="K31" s="22">
        <f t="shared" si="4"/>
        <v>0.35166099782067245</v>
      </c>
      <c r="L31" s="22">
        <f t="shared" si="5"/>
        <v>0.35517760779887919</v>
      </c>
      <c r="M31" s="174">
        <f t="shared" si="6"/>
        <v>0.3551744965906431</v>
      </c>
      <c r="N31" s="232"/>
      <c r="P31" s="22"/>
      <c r="Q31" s="59"/>
      <c r="R31" s="179"/>
      <c r="S31" s="179"/>
      <c r="T31" s="179"/>
      <c r="U31" s="56"/>
      <c r="V31" s="56"/>
      <c r="W31" s="109"/>
      <c r="X31" s="117"/>
      <c r="Y31" s="183">
        <f t="shared" si="9"/>
        <v>1.4206979863625724</v>
      </c>
      <c r="Z31" s="155">
        <f>Poor!Z31</f>
        <v>0.25</v>
      </c>
      <c r="AA31" s="120">
        <f t="shared" si="16"/>
        <v>0.3551744965906431</v>
      </c>
      <c r="AB31" s="155">
        <f>Poor!AB31</f>
        <v>0.25</v>
      </c>
      <c r="AC31" s="120">
        <f t="shared" si="7"/>
        <v>0.3551744965906431</v>
      </c>
      <c r="AD31" s="155">
        <f>Poor!AD31</f>
        <v>0.25</v>
      </c>
      <c r="AE31" s="120">
        <f t="shared" si="8"/>
        <v>0.3551744965906431</v>
      </c>
      <c r="AF31" s="121">
        <f t="shared" si="10"/>
        <v>0.25</v>
      </c>
      <c r="AG31" s="120">
        <f t="shared" si="11"/>
        <v>0.3551744965906431</v>
      </c>
      <c r="AH31" s="122">
        <f t="shared" si="12"/>
        <v>1</v>
      </c>
      <c r="AI31" s="183">
        <f t="shared" si="13"/>
        <v>0.3551744965906431</v>
      </c>
      <c r="AJ31" s="119">
        <f t="shared" si="14"/>
        <v>0.3551744965906431</v>
      </c>
      <c r="AK31" s="118">
        <f t="shared" si="15"/>
        <v>0.3551744965906431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 thickBot="1">
      <c r="A32" s="94" t="s">
        <v>56</v>
      </c>
      <c r="B32" s="100">
        <f>IF([1]Summ!$J1070="",0,[1]Summ!$J1070)</f>
        <v>0.75497962640099636</v>
      </c>
      <c r="C32" s="65"/>
      <c r="D32" s="24">
        <f>(D111-B116)</f>
        <v>62.144614898963546</v>
      </c>
      <c r="E32" s="75">
        <f>Middle!E32</f>
        <v>1</v>
      </c>
      <c r="H32" s="97">
        <f>(E32*F$7/F$9)</f>
        <v>1</v>
      </c>
      <c r="I32" s="29">
        <f>IF(E32&gt;=1,I111-I116,MIN(I111-I116,B32*H32))</f>
        <v>58.729602654041493</v>
      </c>
      <c r="J32" s="234">
        <f>IF(I$34&lt;=$B$34,I32,$B$34-SUM(J6:J31))</f>
        <v>0.75159357060098175</v>
      </c>
      <c r="K32" s="22">
        <f t="shared" si="4"/>
        <v>0.75497962640099636</v>
      </c>
      <c r="L32" s="22">
        <f>IF(L116=L111,0,IF(K32="",0,(L111-L116)/(B111-B116)*K32))</f>
        <v>0.71301155828488139</v>
      </c>
      <c r="M32" s="174">
        <f t="shared" si="6"/>
        <v>0.75159357060098175</v>
      </c>
      <c r="N32" s="165" t="s">
        <v>86</v>
      </c>
      <c r="O32" s="2"/>
      <c r="P32" s="22"/>
      <c r="Q32" s="56"/>
      <c r="R32" s="68"/>
      <c r="S32" s="68"/>
      <c r="T32" s="68"/>
      <c r="U32" s="56"/>
      <c r="V32" s="56"/>
      <c r="W32" s="109"/>
      <c r="X32" s="117"/>
      <c r="Y32" s="183">
        <f>M32*4</f>
        <v>3.006374282403927</v>
      </c>
      <c r="Z32" s="121">
        <f>IF($Y32=0,0,AA32/($Y$32))</f>
        <v>-0.17624441491477522</v>
      </c>
      <c r="AA32" s="187">
        <f>IF(AA76*4/$I$80+SUM(AA6:AA31)&lt;1,AA76*4/$I$80,1-SUM(AA6:AA31))</f>
        <v>-0.52985667641710732</v>
      </c>
      <c r="AB32" s="121">
        <f>IF($Y32=0,0,AC32/($Y$32))</f>
        <v>-0.1917580426893972</v>
      </c>
      <c r="AC32" s="187">
        <f>IF(AC76*4/$I$80+SUM(AC6:AC31)&lt;1,AC76*4/$I$80,1-SUM(AC6:AC31))</f>
        <v>-0.57649644798551813</v>
      </c>
      <c r="AD32" s="121">
        <f>IF($Y32=0,0,AE32/($Y$32))</f>
        <v>-0.22771749137370573</v>
      </c>
      <c r="AE32" s="187">
        <f>IF(AE76*4/$I$80+SUM(AE6:AE31)&lt;1,AE76*4/$I$80,1-SUM(AE6:AE31))</f>
        <v>-0.68460400971944702</v>
      </c>
      <c r="AF32" s="121">
        <f>IF($Y32=0,0,AG32/($Y$32))</f>
        <v>0.58900544460060289</v>
      </c>
      <c r="AG32" s="187">
        <f>IF(AG76*4/$I$80+SUM(AG6:AG31)&lt;1,AG76*4/$I$80,1-SUM(AG6:AG31))</f>
        <v>1.7707708208431434</v>
      </c>
      <c r="AH32" s="122">
        <f t="shared" si="12"/>
        <v>-6.7145043772752766E-3</v>
      </c>
      <c r="AI32" s="183">
        <f t="shared" si="13"/>
        <v>-5.0465783197322645E-3</v>
      </c>
      <c r="AJ32" s="119">
        <f t="shared" si="14"/>
        <v>-0.55317656220131273</v>
      </c>
      <c r="AK32" s="118">
        <f t="shared" si="15"/>
        <v>0.5430834055618482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F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V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  <c r="CK32" s="25"/>
    </row>
    <row r="33" spans="1:89" ht="14" customHeight="1" thickBot="1">
      <c r="A33" s="95" t="s">
        <v>57</v>
      </c>
      <c r="B33" s="101" t="str">
        <f>IF(1-$B$34&gt;0,1-$B$34,"")</f>
        <v/>
      </c>
      <c r="C33" s="29"/>
      <c r="D33" s="24"/>
      <c r="E33" s="22"/>
      <c r="F33" s="22"/>
      <c r="H33" s="24"/>
      <c r="I33" s="22"/>
      <c r="J33" s="235">
        <f>($B$34-SUM(J6:J32))</f>
        <v>0</v>
      </c>
      <c r="K33" s="22" t="str">
        <f t="shared" si="4"/>
        <v/>
      </c>
      <c r="L33" s="22">
        <f>(1-SUM(L6:L32))</f>
        <v>-0.71818869078280567</v>
      </c>
      <c r="M33" s="177">
        <f t="shared" si="6"/>
        <v>0</v>
      </c>
      <c r="N33" s="166">
        <f>M33*I80</f>
        <v>0</v>
      </c>
      <c r="P33" s="22"/>
      <c r="Q33" s="59"/>
      <c r="R33" s="218"/>
      <c r="S33" s="218"/>
      <c r="T33" s="218"/>
      <c r="U33" s="56"/>
      <c r="V33" s="56"/>
      <c r="W33" s="128" t="s">
        <v>84</v>
      </c>
      <c r="X33" s="129"/>
      <c r="Y33" s="120">
        <f>M33*4</f>
        <v>0</v>
      </c>
      <c r="Z33" s="130"/>
      <c r="AA33" s="131">
        <f>1-AA34+IF($Y34&lt;0,$Y34/4,0)</f>
        <v>0</v>
      </c>
      <c r="AB33" s="130"/>
      <c r="AC33" s="132">
        <f>1-AC34+IF($Y34&lt;0,$Y34/4,0)</f>
        <v>0</v>
      </c>
      <c r="AD33" s="133"/>
      <c r="AE33" s="132">
        <f>1-AE34+IF($Y34&lt;0,$Y34/4,0)</f>
        <v>0</v>
      </c>
      <c r="AF33" s="133"/>
      <c r="AG33" s="132">
        <f>1-AG34+IF($Y34&lt;0,$Y34/4,0)</f>
        <v>0</v>
      </c>
      <c r="AH33" s="122"/>
      <c r="AI33" s="182">
        <f>SUM(AA33,AC33,AE33,AG33)/4</f>
        <v>0</v>
      </c>
      <c r="AJ33" s="134">
        <f t="shared" si="14"/>
        <v>0</v>
      </c>
      <c r="AK33" s="135">
        <f t="shared" si="15"/>
        <v>0</v>
      </c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F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V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  <c r="CK33" s="25"/>
    </row>
    <row r="34" spans="1:89" ht="14" customHeight="1">
      <c r="A34" s="22" t="s">
        <v>24</v>
      </c>
      <c r="B34" s="29">
        <f>SUM(B6:B32)</f>
        <v>1.756640148920714</v>
      </c>
      <c r="C34" s="29">
        <f>SUM(C6:C33)</f>
        <v>1.1851640857003118</v>
      </c>
      <c r="D34" s="24">
        <f>SUM(D6:D32)</f>
        <v>64.331439507183575</v>
      </c>
      <c r="E34" s="2"/>
      <c r="F34" s="2"/>
      <c r="H34" s="17"/>
      <c r="I34" s="22">
        <f>SUM(I6:I32)</f>
        <v>60.920223575736834</v>
      </c>
      <c r="J34" s="17"/>
      <c r="L34" s="22">
        <f>SUM(L6:L32)</f>
        <v>1.7181886907828057</v>
      </c>
      <c r="M34" s="23"/>
      <c r="N34" s="56"/>
      <c r="O34" s="2"/>
      <c r="P34" s="22"/>
      <c r="Q34" s="59"/>
      <c r="R34" s="218"/>
      <c r="S34" s="218"/>
      <c r="T34" s="218"/>
      <c r="U34" s="56"/>
      <c r="V34" s="56"/>
      <c r="W34" s="109"/>
      <c r="X34" s="117"/>
      <c r="Y34" s="114">
        <f>SUM(Y6:Y33)</f>
        <v>7.0265605956828558</v>
      </c>
      <c r="Z34" s="136"/>
      <c r="AA34" s="137">
        <f>SUM(AA6:AA32)</f>
        <v>1</v>
      </c>
      <c r="AB34" s="136"/>
      <c r="AC34" s="138">
        <f>SUM(AC6:AC32)</f>
        <v>1</v>
      </c>
      <c r="AD34" s="136"/>
      <c r="AE34" s="138">
        <f>SUM(AE6:AE32)</f>
        <v>1</v>
      </c>
      <c r="AF34" s="136"/>
      <c r="AG34" s="138">
        <f>SUM(AG6:AG32)</f>
        <v>1</v>
      </c>
      <c r="AH34" s="126"/>
      <c r="AI34" s="109"/>
      <c r="AJ34" s="139">
        <f>SUM(AJ6:AJ33)</f>
        <v>1</v>
      </c>
      <c r="AK34" s="140">
        <f>SUM(AK6:AK33)</f>
        <v>1</v>
      </c>
      <c r="AS34" s="25"/>
      <c r="AT34" s="25"/>
      <c r="AU34" s="25"/>
      <c r="AV34" s="25"/>
      <c r="AW34" s="25"/>
      <c r="AX34" s="25"/>
      <c r="AZ34" s="25"/>
      <c r="BA34" s="25"/>
      <c r="BB34" s="25"/>
      <c r="BC34" s="25"/>
      <c r="BD34" s="25"/>
      <c r="BE34" s="25"/>
      <c r="BI34" s="25"/>
      <c r="BJ34" s="25"/>
      <c r="BK34" s="25"/>
      <c r="BL34" s="25"/>
      <c r="BM34" s="25"/>
      <c r="BN34" s="25"/>
      <c r="BP34" s="25"/>
      <c r="BQ34" s="25"/>
      <c r="BR34" s="25"/>
      <c r="BS34" s="25"/>
      <c r="BT34" s="25"/>
      <c r="BU34" s="25"/>
      <c r="BX34" s="25"/>
      <c r="BY34" s="25"/>
      <c r="BZ34" s="25"/>
      <c r="CA34" s="25"/>
      <c r="CB34" s="25"/>
      <c r="CC34" s="25"/>
      <c r="CE34" s="25"/>
      <c r="CF34" s="25"/>
      <c r="CG34" s="25"/>
      <c r="CH34" s="25"/>
      <c r="CI34" s="25"/>
      <c r="CJ34" s="25"/>
    </row>
    <row r="35" spans="1:89" ht="14" customHeight="1" thickBot="1">
      <c r="A35" s="11"/>
      <c r="B35" s="11"/>
      <c r="C35" s="11"/>
      <c r="D35" s="10"/>
      <c r="E35" s="11"/>
      <c r="F35" s="11"/>
      <c r="G35" s="11"/>
      <c r="H35" s="10"/>
      <c r="I35" s="236" t="s">
        <v>25</v>
      </c>
      <c r="J35" s="237">
        <f>(1+K119*H119-L34-L119)/(I34-L34-L119)</f>
        <v>-1.1013105756843337E-4</v>
      </c>
      <c r="K35" s="14"/>
      <c r="L35" s="11"/>
      <c r="M35" s="30"/>
      <c r="N35" s="167" t="s">
        <v>87</v>
      </c>
      <c r="O35" s="2"/>
      <c r="P35" s="2"/>
      <c r="Q35" s="56"/>
      <c r="R35" s="56"/>
      <c r="S35" s="56"/>
      <c r="T35" s="56"/>
      <c r="U35" s="56"/>
      <c r="V35" s="56"/>
      <c r="W35" s="109"/>
      <c r="X35" s="117"/>
      <c r="Y35" s="109"/>
      <c r="Z35" s="142"/>
      <c r="AA35" s="143"/>
      <c r="AB35" s="142"/>
      <c r="AC35" s="143"/>
      <c r="AD35" s="142"/>
      <c r="AE35" s="143"/>
      <c r="AF35" s="142"/>
      <c r="AG35" s="143"/>
      <c r="AH35" s="109"/>
      <c r="AI35" s="109"/>
      <c r="AJ35" s="142"/>
      <c r="AK35" s="143"/>
      <c r="AS35" s="25"/>
      <c r="AT35" s="25"/>
      <c r="AU35" s="25"/>
      <c r="AV35" s="25"/>
      <c r="AW35" s="25"/>
      <c r="AX35" s="25"/>
      <c r="AZ35" s="25"/>
      <c r="BA35" s="25"/>
      <c r="BB35" s="25"/>
      <c r="BC35" s="25"/>
      <c r="BD35" s="25"/>
      <c r="BE35" s="25"/>
      <c r="BI35" s="25"/>
      <c r="BJ35" s="25"/>
      <c r="BK35" s="25"/>
      <c r="BL35" s="25"/>
      <c r="BM35" s="25"/>
      <c r="BN35" s="25"/>
      <c r="BP35" s="25"/>
      <c r="BQ35" s="25"/>
      <c r="BR35" s="25"/>
      <c r="BS35" s="25"/>
      <c r="BT35" s="25"/>
      <c r="BU35" s="25"/>
      <c r="BX35" s="25"/>
      <c r="BY35" s="25"/>
      <c r="BZ35" s="25"/>
      <c r="CA35" s="25"/>
      <c r="CB35" s="25"/>
      <c r="CC35" s="25"/>
      <c r="CE35" s="25"/>
      <c r="CF35" s="25"/>
      <c r="CG35" s="25"/>
      <c r="CH35" s="25"/>
      <c r="CI35" s="25"/>
      <c r="CJ35" s="25"/>
    </row>
    <row r="36" spans="1:89" ht="15.75" customHeight="1" thickBot="1">
      <c r="A36" s="73" t="s">
        <v>50</v>
      </c>
      <c r="B36" s="2"/>
      <c r="C36" s="2"/>
      <c r="D36" s="31"/>
      <c r="E36" s="32"/>
      <c r="F36" s="32"/>
      <c r="G36" s="32"/>
      <c r="H36" s="31"/>
      <c r="I36" s="2"/>
      <c r="J36" s="33"/>
      <c r="K36" s="34" t="s">
        <v>27</v>
      </c>
      <c r="L36" s="35"/>
      <c r="M36" s="36"/>
      <c r="N36" s="168">
        <f>-(M74*B73)</f>
        <v>0</v>
      </c>
      <c r="O36" s="2"/>
      <c r="P36" s="2"/>
      <c r="Q36" s="59"/>
      <c r="R36" s="218"/>
      <c r="S36" s="218"/>
      <c r="T36" s="218"/>
      <c r="U36" s="56"/>
      <c r="V36" s="56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9" ht="14" customHeight="1">
      <c r="A37" s="2"/>
      <c r="B37" s="19" t="s">
        <v>7</v>
      </c>
      <c r="C37" s="19" t="s">
        <v>8</v>
      </c>
      <c r="D37" s="16" t="s">
        <v>9</v>
      </c>
      <c r="E37" s="19" t="s">
        <v>10</v>
      </c>
      <c r="F37" s="2" t="s">
        <v>28</v>
      </c>
      <c r="G37" s="2" t="s">
        <v>29</v>
      </c>
      <c r="H37" s="16" t="s">
        <v>12</v>
      </c>
      <c r="I37" s="19" t="s">
        <v>13</v>
      </c>
      <c r="J37" s="16" t="s">
        <v>14</v>
      </c>
      <c r="K37" s="37" t="s">
        <v>7</v>
      </c>
      <c r="L37" s="19" t="s">
        <v>15</v>
      </c>
      <c r="M37" s="16" t="s">
        <v>14</v>
      </c>
      <c r="N37" s="2"/>
      <c r="O37" s="2"/>
      <c r="P37" s="2"/>
      <c r="V37" s="56"/>
      <c r="W37" s="109"/>
      <c r="X37" s="117"/>
      <c r="Y37" s="109"/>
      <c r="Z37" s="144"/>
      <c r="AA37" s="145"/>
      <c r="AB37" s="144"/>
      <c r="AC37" s="145"/>
      <c r="AD37" s="144"/>
      <c r="AE37" s="145"/>
      <c r="AF37" s="144"/>
      <c r="AG37" s="145"/>
      <c r="AH37" s="109"/>
      <c r="AI37" s="109"/>
      <c r="AJ37" s="144"/>
      <c r="AK37" s="145"/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9" ht="14" customHeight="1">
      <c r="A38" s="2" t="s">
        <v>30</v>
      </c>
      <c r="B38" s="19" t="s">
        <v>16</v>
      </c>
      <c r="C38" s="19" t="s">
        <v>17</v>
      </c>
      <c r="D38" s="16" t="s">
        <v>16</v>
      </c>
      <c r="E38" s="19" t="s">
        <v>18</v>
      </c>
      <c r="F38" s="2" t="s">
        <v>31</v>
      </c>
      <c r="G38" s="2" t="s">
        <v>31</v>
      </c>
      <c r="H38" s="16" t="s">
        <v>18</v>
      </c>
      <c r="I38" s="19" t="s">
        <v>16</v>
      </c>
      <c r="J38" s="16" t="s">
        <v>16</v>
      </c>
      <c r="K38" s="37" t="s">
        <v>16</v>
      </c>
      <c r="L38" s="19" t="s">
        <v>19</v>
      </c>
      <c r="M38" s="16" t="s">
        <v>16</v>
      </c>
      <c r="N38" s="2"/>
      <c r="O38" s="2"/>
      <c r="P38" s="2"/>
      <c r="V38" s="56"/>
      <c r="W38" s="109"/>
      <c r="X38" s="117"/>
      <c r="Y38" s="109"/>
      <c r="Z38" s="144"/>
      <c r="AA38" s="145"/>
      <c r="AB38" s="144"/>
      <c r="AC38" s="145"/>
      <c r="AD38" s="144"/>
      <c r="AE38" s="145"/>
      <c r="AF38" s="144"/>
      <c r="AG38" s="145"/>
      <c r="AH38" s="109"/>
      <c r="AI38" s="109"/>
      <c r="AJ38" s="144"/>
      <c r="AK38" s="145"/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9" ht="14" customHeight="1">
      <c r="A39" s="85" t="str">
        <f>IF(Poor!A39=0,"",Poor!A39)</f>
        <v>Pig sales: no sold</v>
      </c>
      <c r="B39" s="103">
        <f>IF([1]Summ!$J1074="",0,[1]Summ!$J1074)</f>
        <v>4900</v>
      </c>
      <c r="C39" s="103">
        <f>IF([1]Summ!$K1074="",0,[1]Summ!$K1074)</f>
        <v>0</v>
      </c>
      <c r="D39" s="38">
        <f t="shared" ref="D39:D61" si="33">B39+C39</f>
        <v>4900</v>
      </c>
      <c r="E39" s="75">
        <f>Middle!E39</f>
        <v>1</v>
      </c>
      <c r="F39" s="75">
        <f>Middle!F39</f>
        <v>1.03</v>
      </c>
      <c r="G39" s="75">
        <f>Middle!G39</f>
        <v>1.1200000000000001</v>
      </c>
      <c r="H39" s="24">
        <f t="shared" ref="H39:H61" si="34">(E39*F39)</f>
        <v>1.03</v>
      </c>
      <c r="I39" s="39">
        <f t="shared" ref="I39:I61" si="35">D39*H39</f>
        <v>5047</v>
      </c>
      <c r="J39" s="38">
        <f t="shared" ref="J39:J61" si="36">J88*I$80</f>
        <v>5047</v>
      </c>
      <c r="K39" s="40">
        <f t="shared" ref="K39:K61" si="37">(B39/B$62)</f>
        <v>1.4107122526509744E-2</v>
      </c>
      <c r="L39" s="22">
        <f t="shared" ref="L39:L61" si="38">(K39*H39)</f>
        <v>1.4530336202305037E-2</v>
      </c>
      <c r="M39" s="24">
        <f t="shared" ref="M39:M61" si="39">J39/B$62</f>
        <v>1.4530336202305037E-2</v>
      </c>
      <c r="N39" s="2"/>
      <c r="O39" s="2"/>
      <c r="P39" s="2"/>
      <c r="V39" s="56"/>
      <c r="W39" s="114"/>
      <c r="X39" s="117"/>
      <c r="Y39" s="109"/>
      <c r="Z39" s="121">
        <f>IF($J39=0,0,AA39/($J39))</f>
        <v>0</v>
      </c>
      <c r="AA39" s="146">
        <f>IF(SUM(AA$6:AA$31)+(SUM(AA$41:AA$61,-AA$67)/AA$80)&lt;1,IF(SUM(AA$6:AA$31)+(SUM(AA$41:AA$61,$J$39:$J$40,-AA$67)/AA$80)&lt;1,$J39,(AA$80-(SUM(AA$6:AA$31)*AA$80)-SUM(AA$41:AA$61,-AA$67))*($J39/SUM($J$39:$J$40))),0)</f>
        <v>0</v>
      </c>
      <c r="AB39" s="121">
        <f>IF($J39=0,0,AC39/($J39))</f>
        <v>0</v>
      </c>
      <c r="AC39" s="146">
        <f>IF(SUM(AC$6:AC$31)+(SUM(AC$41:AC$61,-AC$67)/AC$80)&lt;1,IF(SUM(AC$6:AC$31)+((SUM(AC$41:AC$61,$J$39:$J$40,-AC$67)-SUM($AA$39:$AA$40))/AC$80)&lt;1,$J39-$AA39,(AC$80-(SUM(AC$6:AC$31)*AC$80)-SUM(AC$41:AC$61,-AC$67))*($J39/SUM($J$39:$J$40))),0)</f>
        <v>0</v>
      </c>
      <c r="AD39" s="121">
        <f>IF($J39=0,0,AE39/($J39))</f>
        <v>0</v>
      </c>
      <c r="AE39" s="146">
        <f>IF(SUM(AE$6:AE$31)+(SUM(AE$41:AE$61,-AE$67)/AE$80)&lt;1,IF(SUM(AE$6:AE$31)+((SUM(AE$41:AE$61,$J$39:$J$40,-AE$67)-SUM($AA$39:$AA$40)-SUM($AC$39:$AC$40))/AE$80)&lt;1,$J39-$AA39-$AC39,(AE$80-(SUM(AE$6:AE$31)*AE$80)-SUM(AE$41:AE$61,-AE$67))*($J39/SUM($J$39:$J$40))),0)</f>
        <v>0</v>
      </c>
      <c r="AF39" s="121">
        <f t="shared" ref="AF39:AF61" si="40">1-SUM(Z39,AB39,AD39)</f>
        <v>1</v>
      </c>
      <c r="AG39" s="146">
        <f>$J39*AF39</f>
        <v>5047</v>
      </c>
      <c r="AH39" s="122">
        <f>SUM(Z39,AB39,AD39,AF39)</f>
        <v>1</v>
      </c>
      <c r="AI39" s="111">
        <f>SUM(AA39,AC39,AE39,AG39)</f>
        <v>5047</v>
      </c>
      <c r="AJ39" s="147">
        <f>(AA39+AC39)</f>
        <v>0</v>
      </c>
      <c r="AK39" s="146">
        <f>(AE39+AG39)</f>
        <v>5047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9" ht="14" customHeight="1">
      <c r="A40" s="85" t="str">
        <f>IF(Poor!A40=0,"",Poor!A40)</f>
        <v>Cattle sales - local: no. sold</v>
      </c>
      <c r="B40" s="103">
        <f>IF([1]Summ!$J1075="",0,[1]Summ!$J1075)</f>
        <v>18000</v>
      </c>
      <c r="C40" s="103">
        <f>IF([1]Summ!$K1075="",0,[1]Summ!$K1075)</f>
        <v>0</v>
      </c>
      <c r="D40" s="38">
        <f t="shared" si="33"/>
        <v>18000</v>
      </c>
      <c r="E40" s="75">
        <f>Middle!E40</f>
        <v>1</v>
      </c>
      <c r="F40" s="75">
        <f>Middle!F40</f>
        <v>1.1100000000000001</v>
      </c>
      <c r="G40" s="22">
        <f t="shared" ref="G40:G61" si="41">(G$39)</f>
        <v>1.1200000000000001</v>
      </c>
      <c r="H40" s="24">
        <f t="shared" si="34"/>
        <v>1.1100000000000001</v>
      </c>
      <c r="I40" s="39">
        <f t="shared" si="35"/>
        <v>19980</v>
      </c>
      <c r="J40" s="38">
        <f t="shared" si="36"/>
        <v>19980.000000000004</v>
      </c>
      <c r="K40" s="40">
        <f t="shared" si="37"/>
        <v>5.1822082750443955E-2</v>
      </c>
      <c r="L40" s="22">
        <f t="shared" si="38"/>
        <v>5.7522511852992793E-2</v>
      </c>
      <c r="M40" s="24">
        <f t="shared" si="39"/>
        <v>5.7522511852992807E-2</v>
      </c>
      <c r="N40" s="2"/>
      <c r="O40" s="2"/>
      <c r="P40" s="2"/>
      <c r="V40" s="56"/>
      <c r="W40" s="114"/>
      <c r="X40" s="117"/>
      <c r="Y40" s="109"/>
      <c r="Z40" s="121">
        <f>IF($J40=0,0,AA40/($J40))</f>
        <v>0</v>
      </c>
      <c r="AA40" s="146">
        <f>IF(SUM(AA$6:AA$31)+(SUM(AA$41:AA$61,-AA$67)/AA$80)&lt;1,IF(SUM(AA$6:AA$31)+(SUM(AA$41:AA$61,$J$39:$J$40,-AA$67)/AA$80)&lt;1,$J40,(AA$80-(SUM(AA$6:AA$31)*AA$80)-SUM(AA$41:AA$61,-AA$67))*($J40/SUM($J$39:$J$40))),0)</f>
        <v>0</v>
      </c>
      <c r="AB40" s="121">
        <f>IF($J40=0,0,AC40/($J40))</f>
        <v>0</v>
      </c>
      <c r="AC40" s="146">
        <f>IF(SUM(AC$6:AC$31)+(SUM(AC$41:AC$61,-AC$67)/AC$80)&lt;1,IF(SUM(AC$6:AC$31)+((SUM(AC$41:AC$61,$J$39:$J$40,-AC$67)-SUM($AA$39:$AA$40))/AC$80)&lt;1,$J40-$AA40,(AC$80-(SUM(AC$6:AC$31)*AC$80)-SUM(AC$41:AC$61,-AC$67))*($J40/SUM($J$39:$J$40))),0)</f>
        <v>0</v>
      </c>
      <c r="AD40" s="121">
        <f>IF($J40=0,0,AE40/($J40))</f>
        <v>0</v>
      </c>
      <c r="AE40" s="146">
        <f>IF(SUM(AE$6:AE$31)+(SUM(AE$41:AE$61,-AE$67)/AE$80)&lt;1,IF(SUM(AE$6:AE$31)+((SUM(AE$41:AE$61,$J$39:$J$40,-AE$67)-SUM($AA$39:$AA$40)-SUM($AC$39:$AC$40))/AE$80)&lt;1,$J40-$AA40-$AC40,(AE$80-(SUM(AE$6:AE$31)*AE$80)-SUM(AE$41:AE$61,-AE$67))*($J40/SUM($J$39:$J$40))),0)</f>
        <v>0</v>
      </c>
      <c r="AF40" s="121">
        <f t="shared" si="40"/>
        <v>1</v>
      </c>
      <c r="AG40" s="146">
        <f t="shared" ref="AG40:AG61" si="42">$J40*AF40</f>
        <v>19980.000000000004</v>
      </c>
      <c r="AH40" s="122">
        <f t="shared" ref="AH40:AI55" si="43">SUM(Z40,AB40,AD40,AF40)</f>
        <v>1</v>
      </c>
      <c r="AI40" s="111">
        <f t="shared" si="43"/>
        <v>19980.000000000004</v>
      </c>
      <c r="AJ40" s="147">
        <f t="shared" ref="AJ40:AJ61" si="44">(AA40+AC40)</f>
        <v>0</v>
      </c>
      <c r="AK40" s="146">
        <f t="shared" ref="AK40:AK61" si="45">(AE40+AG40)</f>
        <v>19980.000000000004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9" ht="14" customHeight="1">
      <c r="A41" s="85" t="str">
        <f>IF(Poor!A41=0,"",Poor!A41)</f>
        <v>Goat sales - local: no. sold</v>
      </c>
      <c r="B41" s="103">
        <f>IF([1]Summ!$J1076="",0,[1]Summ!$J1076)</f>
        <v>2250</v>
      </c>
      <c r="C41" s="103">
        <f>IF([1]Summ!$K1076="",0,[1]Summ!$K1076)</f>
        <v>-750</v>
      </c>
      <c r="D41" s="38">
        <f t="shared" si="33"/>
        <v>1500</v>
      </c>
      <c r="E41" s="75">
        <f>Middle!E41</f>
        <v>1</v>
      </c>
      <c r="F41" s="75">
        <f>Middle!F41</f>
        <v>1.0900000000000001</v>
      </c>
      <c r="G41" s="22">
        <f t="shared" si="41"/>
        <v>1.1200000000000001</v>
      </c>
      <c r="H41" s="24">
        <f t="shared" si="34"/>
        <v>1.0900000000000001</v>
      </c>
      <c r="I41" s="39">
        <f t="shared" si="35"/>
        <v>1635.0000000000002</v>
      </c>
      <c r="J41" s="38">
        <f t="shared" si="36"/>
        <v>2452.5900321395625</v>
      </c>
      <c r="K41" s="40">
        <f t="shared" si="37"/>
        <v>6.4777603438054944E-3</v>
      </c>
      <c r="L41" s="22">
        <f t="shared" si="38"/>
        <v>7.0607587747479892E-3</v>
      </c>
      <c r="M41" s="24">
        <f t="shared" si="39"/>
        <v>7.0610179776916899E-3</v>
      </c>
      <c r="N41" s="2"/>
      <c r="O41" s="2"/>
      <c r="P41" s="2"/>
      <c r="V41" s="56"/>
      <c r="W41" s="114"/>
      <c r="X41" s="117">
        <f>X8</f>
        <v>0</v>
      </c>
      <c r="Y41" s="109"/>
      <c r="Z41" s="121">
        <f>Z8</f>
        <v>0</v>
      </c>
      <c r="AA41" s="146">
        <f>$J41*Z41</f>
        <v>0</v>
      </c>
      <c r="AB41" s="121">
        <f>AB8</f>
        <v>0</v>
      </c>
      <c r="AC41" s="146">
        <f>$J41*AB41</f>
        <v>0</v>
      </c>
      <c r="AD41" s="121">
        <f>AD8</f>
        <v>0</v>
      </c>
      <c r="AE41" s="146">
        <f>$J41*AD41</f>
        <v>0</v>
      </c>
      <c r="AF41" s="121">
        <f t="shared" si="40"/>
        <v>1</v>
      </c>
      <c r="AG41" s="146">
        <f t="shared" si="42"/>
        <v>2452.5900321395625</v>
      </c>
      <c r="AH41" s="122">
        <f t="shared" si="43"/>
        <v>1</v>
      </c>
      <c r="AI41" s="111">
        <f t="shared" si="43"/>
        <v>2452.5900321395625</v>
      </c>
      <c r="AJ41" s="147">
        <f t="shared" si="44"/>
        <v>0</v>
      </c>
      <c r="AK41" s="146">
        <f t="shared" si="45"/>
        <v>2452.5900321395625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9" ht="14" customHeight="1">
      <c r="A42" s="85" t="str">
        <f>IF(Poor!A42=0,"",Poor!A42)</f>
        <v>Maize: kg produced</v>
      </c>
      <c r="B42" s="103">
        <f>IF([1]Summ!$J1077="",0,[1]Summ!$J1077)</f>
        <v>3000</v>
      </c>
      <c r="C42" s="103">
        <f>IF([1]Summ!$K1077="",0,[1]Summ!$K1077)</f>
        <v>-3000</v>
      </c>
      <c r="D42" s="38">
        <f t="shared" si="33"/>
        <v>0</v>
      </c>
      <c r="E42" s="75">
        <f>Middle!E42</f>
        <v>1</v>
      </c>
      <c r="F42" s="75">
        <f>Middle!F42</f>
        <v>1.02</v>
      </c>
      <c r="G42" s="22">
        <f t="shared" si="41"/>
        <v>1.1200000000000001</v>
      </c>
      <c r="H42" s="24">
        <f t="shared" si="34"/>
        <v>1.02</v>
      </c>
      <c r="I42" s="39">
        <f t="shared" si="35"/>
        <v>0</v>
      </c>
      <c r="J42" s="38">
        <f t="shared" si="36"/>
        <v>3060.3370010361596</v>
      </c>
      <c r="K42" s="40">
        <f t="shared" si="37"/>
        <v>8.6370137917406598E-3</v>
      </c>
      <c r="L42" s="22">
        <f t="shared" si="38"/>
        <v>8.8097540675754725E-3</v>
      </c>
      <c r="M42" s="24">
        <f t="shared" si="39"/>
        <v>8.8107242951078538E-3</v>
      </c>
      <c r="N42" s="2"/>
      <c r="O42" s="2"/>
      <c r="P42" s="2"/>
      <c r="V42" s="56"/>
      <c r="W42" s="114"/>
      <c r="X42" s="117">
        <f>X9</f>
        <v>4</v>
      </c>
      <c r="Y42" s="109"/>
      <c r="Z42" s="121">
        <f>Z9</f>
        <v>0</v>
      </c>
      <c r="AA42" s="146">
        <f>$J42*Z42</f>
        <v>0</v>
      </c>
      <c r="AB42" s="121">
        <f>AB9</f>
        <v>0</v>
      </c>
      <c r="AC42" s="146">
        <f>$J42*AB42</f>
        <v>0</v>
      </c>
      <c r="AD42" s="121">
        <f>AD9</f>
        <v>0</v>
      </c>
      <c r="AE42" s="146">
        <f>$J42*AD42</f>
        <v>0</v>
      </c>
      <c r="AF42" s="121">
        <f t="shared" si="40"/>
        <v>1</v>
      </c>
      <c r="AG42" s="146">
        <f t="shared" si="42"/>
        <v>3060.3370010361596</v>
      </c>
      <c r="AH42" s="122">
        <f t="shared" si="43"/>
        <v>1</v>
      </c>
      <c r="AI42" s="111">
        <f t="shared" si="43"/>
        <v>3060.3370010361596</v>
      </c>
      <c r="AJ42" s="147">
        <f t="shared" si="44"/>
        <v>0</v>
      </c>
      <c r="AK42" s="146">
        <f t="shared" si="45"/>
        <v>3060.3370010361596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9" ht="14" customHeight="1">
      <c r="A43" s="85" t="str">
        <f>IF(Poor!A43=0,"",Poor!A43)</f>
        <v>Maize (irrigated): kg produced</v>
      </c>
      <c r="B43" s="103">
        <f>IF([1]Summ!$J1078="",0,[1]Summ!$J1078)</f>
        <v>300</v>
      </c>
      <c r="C43" s="103">
        <f>IF([1]Summ!$K1078="",0,[1]Summ!$K1078)</f>
        <v>-300</v>
      </c>
      <c r="D43" s="38">
        <f t="shared" si="33"/>
        <v>0</v>
      </c>
      <c r="E43" s="75">
        <f>Middle!E43</f>
        <v>1</v>
      </c>
      <c r="F43" s="75">
        <f>Middle!F43</f>
        <v>1.02</v>
      </c>
      <c r="G43" s="22">
        <f t="shared" si="41"/>
        <v>1.1200000000000001</v>
      </c>
      <c r="H43" s="24">
        <f t="shared" si="34"/>
        <v>1.02</v>
      </c>
      <c r="I43" s="39">
        <f t="shared" si="35"/>
        <v>0</v>
      </c>
      <c r="J43" s="38">
        <f t="shared" si="36"/>
        <v>306.03370010361601</v>
      </c>
      <c r="K43" s="40">
        <f t="shared" si="37"/>
        <v>8.6370137917406598E-4</v>
      </c>
      <c r="L43" s="22">
        <f t="shared" si="38"/>
        <v>8.8097540675754734E-4</v>
      </c>
      <c r="M43" s="24">
        <f t="shared" si="39"/>
        <v>8.8107242951078555E-4</v>
      </c>
      <c r="N43" s="2"/>
      <c r="O43" s="2"/>
      <c r="P43" s="2"/>
      <c r="V43" s="56"/>
      <c r="W43" s="114"/>
      <c r="X43" s="117">
        <f>X11</f>
        <v>1</v>
      </c>
      <c r="Y43" s="109"/>
      <c r="Z43" s="121">
        <f>Z11</f>
        <v>0</v>
      </c>
      <c r="AA43" s="146">
        <f>$J43*Z43</f>
        <v>0</v>
      </c>
      <c r="AB43" s="121">
        <f>AB11</f>
        <v>0</v>
      </c>
      <c r="AC43" s="146">
        <f>$J43*AB43</f>
        <v>0</v>
      </c>
      <c r="AD43" s="121">
        <f>AD11</f>
        <v>0</v>
      </c>
      <c r="AE43" s="146">
        <f>$J43*AD43</f>
        <v>0</v>
      </c>
      <c r="AF43" s="121">
        <f t="shared" si="40"/>
        <v>1</v>
      </c>
      <c r="AG43" s="146">
        <f t="shared" si="42"/>
        <v>306.03370010361601</v>
      </c>
      <c r="AH43" s="122">
        <f t="shared" si="43"/>
        <v>1</v>
      </c>
      <c r="AI43" s="111">
        <f t="shared" si="43"/>
        <v>306.03370010361601</v>
      </c>
      <c r="AJ43" s="147">
        <f t="shared" si="44"/>
        <v>0</v>
      </c>
      <c r="AK43" s="146">
        <f t="shared" si="45"/>
        <v>306.03370010361601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9" ht="14" customHeight="1">
      <c r="A44" s="85" t="str">
        <f>IF(Poor!A44=0,"",Poor!A44)</f>
        <v>Beans season 2: kg produced</v>
      </c>
      <c r="B44" s="103">
        <f>IF([1]Summ!$J1079="",0,[1]Summ!$J1079)</f>
        <v>2400</v>
      </c>
      <c r="C44" s="103">
        <f>IF([1]Summ!$K1079="",0,[1]Summ!$K1079)</f>
        <v>-2400</v>
      </c>
      <c r="D44" s="38">
        <f t="shared" si="33"/>
        <v>0</v>
      </c>
      <c r="E44" s="75">
        <f>Middle!E44</f>
        <v>1</v>
      </c>
      <c r="F44" s="75">
        <f>Middle!F44</f>
        <v>1.1299999999999999</v>
      </c>
      <c r="G44" s="22">
        <f t="shared" si="41"/>
        <v>1.1200000000000001</v>
      </c>
      <c r="H44" s="24">
        <f t="shared" si="34"/>
        <v>1.1299999999999999</v>
      </c>
      <c r="I44" s="39">
        <f t="shared" si="35"/>
        <v>0</v>
      </c>
      <c r="J44" s="38">
        <f t="shared" si="36"/>
        <v>2712.2986754281251</v>
      </c>
      <c r="K44" s="40">
        <f t="shared" si="37"/>
        <v>6.9096110333925279E-3</v>
      </c>
      <c r="L44" s="22">
        <f t="shared" si="38"/>
        <v>7.8078604677335557E-3</v>
      </c>
      <c r="M44" s="24">
        <f t="shared" si="39"/>
        <v>7.8087203556642133E-3</v>
      </c>
      <c r="N44" s="2"/>
      <c r="O44" s="2"/>
      <c r="P44" s="2"/>
      <c r="V44" s="56"/>
      <c r="W44" s="114"/>
      <c r="X44" s="117"/>
      <c r="Y44" s="109"/>
      <c r="Z44" s="155">
        <f>Poor!Z44</f>
        <v>0.25</v>
      </c>
      <c r="AA44" s="146">
        <f t="shared" ref="AA44:AA61" si="46">$J44*Z44</f>
        <v>678.07466885703127</v>
      </c>
      <c r="AB44" s="155">
        <f>Poor!AB44</f>
        <v>0</v>
      </c>
      <c r="AC44" s="146">
        <f t="shared" ref="AC44:AC61" si="47">$J44*AB44</f>
        <v>0</v>
      </c>
      <c r="AD44" s="155">
        <f>Poor!AD44</f>
        <v>0.5</v>
      </c>
      <c r="AE44" s="146">
        <f t="shared" ref="AE44:AE61" si="48">$J44*AD44</f>
        <v>1356.1493377140625</v>
      </c>
      <c r="AF44" s="121">
        <f t="shared" si="40"/>
        <v>0.25</v>
      </c>
      <c r="AG44" s="146">
        <f t="shared" si="42"/>
        <v>678.07466885703127</v>
      </c>
      <c r="AH44" s="122">
        <f t="shared" si="43"/>
        <v>1</v>
      </c>
      <c r="AI44" s="111">
        <f t="shared" si="43"/>
        <v>2712.2986754281251</v>
      </c>
      <c r="AJ44" s="147">
        <f t="shared" si="44"/>
        <v>678.07466885703127</v>
      </c>
      <c r="AK44" s="146">
        <f t="shared" si="45"/>
        <v>2034.2240065710939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9" ht="14" customHeight="1">
      <c r="A45" s="85" t="str">
        <f>IF(Poor!A45=0,"",Poor!A45)</f>
        <v>Other root crops (sweet potato): no. local meas</v>
      </c>
      <c r="B45" s="103">
        <f>IF([1]Summ!$J1080="",0,[1]Summ!$J1080)</f>
        <v>4000</v>
      </c>
      <c r="C45" s="103">
        <f>IF([1]Summ!$K1080="",0,[1]Summ!$K1080)</f>
        <v>-4000</v>
      </c>
      <c r="D45" s="38">
        <f t="shared" si="33"/>
        <v>0</v>
      </c>
      <c r="E45" s="75">
        <f>Middle!E45</f>
        <v>1</v>
      </c>
      <c r="F45" s="75">
        <f>Middle!F45</f>
        <v>1</v>
      </c>
      <c r="G45" s="22">
        <f t="shared" si="41"/>
        <v>1.1200000000000001</v>
      </c>
      <c r="H45" s="24">
        <f t="shared" si="34"/>
        <v>1</v>
      </c>
      <c r="I45" s="39">
        <f t="shared" si="35"/>
        <v>0</v>
      </c>
      <c r="J45" s="38">
        <f t="shared" si="36"/>
        <v>4000.4405242302737</v>
      </c>
      <c r="K45" s="40">
        <f t="shared" si="37"/>
        <v>1.1516018388987546E-2</v>
      </c>
      <c r="L45" s="22">
        <f t="shared" si="38"/>
        <v>1.1516018388987546E-2</v>
      </c>
      <c r="M45" s="24">
        <f t="shared" si="39"/>
        <v>1.1517286660271703E-2</v>
      </c>
      <c r="N45" s="2"/>
      <c r="O45" s="2"/>
      <c r="P45" s="2"/>
      <c r="V45" s="56"/>
      <c r="W45" s="114"/>
      <c r="X45" s="117"/>
      <c r="Y45" s="109"/>
      <c r="Z45" s="155">
        <f>Poor!Z45</f>
        <v>0.25</v>
      </c>
      <c r="AA45" s="146">
        <f t="shared" si="46"/>
        <v>1000.1101310575684</v>
      </c>
      <c r="AB45" s="155">
        <f>Poor!AB45</f>
        <v>0.25</v>
      </c>
      <c r="AC45" s="146">
        <f t="shared" si="47"/>
        <v>1000.1101310575684</v>
      </c>
      <c r="AD45" s="155">
        <f>Poor!AD45</f>
        <v>0.25</v>
      </c>
      <c r="AE45" s="146">
        <f t="shared" si="48"/>
        <v>1000.1101310575684</v>
      </c>
      <c r="AF45" s="121">
        <f t="shared" si="40"/>
        <v>0.25</v>
      </c>
      <c r="AG45" s="146">
        <f t="shared" si="42"/>
        <v>1000.1101310575684</v>
      </c>
      <c r="AH45" s="122">
        <f t="shared" si="43"/>
        <v>1</v>
      </c>
      <c r="AI45" s="111">
        <f t="shared" si="43"/>
        <v>4000.4405242302737</v>
      </c>
      <c r="AJ45" s="147">
        <f t="shared" si="44"/>
        <v>2000.2202621151368</v>
      </c>
      <c r="AK45" s="146">
        <f t="shared" si="45"/>
        <v>2000.2202621151368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9" ht="14" customHeight="1">
      <c r="A46" s="85" t="str">
        <f>IF(Poor!A46=0,"",Poor!A46)</f>
        <v>Groundnuts (dry): no. local meas</v>
      </c>
      <c r="B46" s="103">
        <f>IF([1]Summ!$J1081="",0,[1]Summ!$J1081)</f>
        <v>1200</v>
      </c>
      <c r="C46" s="103">
        <f>IF([1]Summ!$K1081="",0,[1]Summ!$K1081)</f>
        <v>-1200</v>
      </c>
      <c r="D46" s="38">
        <f t="shared" si="33"/>
        <v>0</v>
      </c>
      <c r="E46" s="75">
        <f>Middle!E46</f>
        <v>1</v>
      </c>
      <c r="F46" s="75">
        <f>Middle!F46</f>
        <v>1</v>
      </c>
      <c r="G46" s="22">
        <f t="shared" si="41"/>
        <v>1.1200000000000001</v>
      </c>
      <c r="H46" s="24">
        <f t="shared" si="34"/>
        <v>1</v>
      </c>
      <c r="I46" s="39">
        <f t="shared" si="35"/>
        <v>0</v>
      </c>
      <c r="J46" s="38">
        <f t="shared" si="36"/>
        <v>1200.1321572690822</v>
      </c>
      <c r="K46" s="40">
        <f t="shared" si="37"/>
        <v>3.4548055166962639E-3</v>
      </c>
      <c r="L46" s="22">
        <f t="shared" si="38"/>
        <v>3.4548055166962639E-3</v>
      </c>
      <c r="M46" s="24">
        <f t="shared" si="39"/>
        <v>3.455185998081511E-3</v>
      </c>
      <c r="N46" s="2"/>
      <c r="O46" s="2"/>
      <c r="P46" s="2"/>
      <c r="V46" s="56"/>
      <c r="W46" s="116"/>
      <c r="X46" s="117"/>
      <c r="Y46" s="109"/>
      <c r="Z46" s="155">
        <f>Poor!Z46</f>
        <v>0.25</v>
      </c>
      <c r="AA46" s="146">
        <f t="shared" si="46"/>
        <v>300.03303931727055</v>
      </c>
      <c r="AB46" s="155">
        <f>Poor!AB46</f>
        <v>0.25</v>
      </c>
      <c r="AC46" s="146">
        <f t="shared" si="47"/>
        <v>300.03303931727055</v>
      </c>
      <c r="AD46" s="155">
        <f>Poor!AD46</f>
        <v>0.25</v>
      </c>
      <c r="AE46" s="146">
        <f t="shared" si="48"/>
        <v>300.03303931727055</v>
      </c>
      <c r="AF46" s="121">
        <f t="shared" si="40"/>
        <v>0.25</v>
      </c>
      <c r="AG46" s="146">
        <f t="shared" si="42"/>
        <v>300.03303931727055</v>
      </c>
      <c r="AH46" s="122">
        <f t="shared" si="43"/>
        <v>1</v>
      </c>
      <c r="AI46" s="111">
        <f t="shared" si="43"/>
        <v>1200.1321572690822</v>
      </c>
      <c r="AJ46" s="147">
        <f t="shared" si="44"/>
        <v>600.0660786345411</v>
      </c>
      <c r="AK46" s="146">
        <f t="shared" si="45"/>
        <v>600.0660786345411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9" ht="14" customHeight="1">
      <c r="A47" s="85" t="str">
        <f>IF(Poor!A47=0,"",Poor!A47)</f>
        <v>Other crop: Rape</v>
      </c>
      <c r="B47" s="103">
        <f>IF([1]Summ!$J1082="",0,[1]Summ!$J1082)</f>
        <v>175</v>
      </c>
      <c r="C47" s="103">
        <f>IF([1]Summ!$K1082="",0,[1]Summ!$K1082)</f>
        <v>-175</v>
      </c>
      <c r="D47" s="38">
        <f t="shared" si="33"/>
        <v>0</v>
      </c>
      <c r="E47" s="75">
        <f>Middle!E47</f>
        <v>1</v>
      </c>
      <c r="F47" s="75">
        <f>Middle!F47</f>
        <v>1.07</v>
      </c>
      <c r="G47" s="22">
        <f t="shared" si="41"/>
        <v>1.1200000000000001</v>
      </c>
      <c r="H47" s="24">
        <f t="shared" si="34"/>
        <v>1.07</v>
      </c>
      <c r="I47" s="39">
        <f t="shared" si="35"/>
        <v>0</v>
      </c>
      <c r="J47" s="38">
        <f t="shared" si="36"/>
        <v>187.2706220405297</v>
      </c>
      <c r="K47" s="40">
        <f t="shared" si="37"/>
        <v>5.0382580451820516E-4</v>
      </c>
      <c r="L47" s="22">
        <f t="shared" si="38"/>
        <v>5.390936108344795E-4</v>
      </c>
      <c r="M47" s="24">
        <f t="shared" si="39"/>
        <v>5.3915298178396911E-4</v>
      </c>
      <c r="N47" s="2"/>
      <c r="O47" s="2"/>
      <c r="P47" s="2"/>
      <c r="Q47" s="2"/>
      <c r="R47" s="2"/>
      <c r="S47" s="2"/>
      <c r="T47" s="69"/>
      <c r="U47" s="56"/>
      <c r="V47" s="56"/>
      <c r="W47" s="109"/>
      <c r="X47" s="117"/>
      <c r="Y47" s="109"/>
      <c r="Z47" s="155">
        <f>Poor!Z47</f>
        <v>0.25</v>
      </c>
      <c r="AA47" s="146">
        <f t="shared" si="46"/>
        <v>46.817655510132425</v>
      </c>
      <c r="AB47" s="155">
        <f>Poor!AB47</f>
        <v>0.25</v>
      </c>
      <c r="AC47" s="146">
        <f t="shared" si="47"/>
        <v>46.817655510132425</v>
      </c>
      <c r="AD47" s="155">
        <f>Poor!AD47</f>
        <v>0.25</v>
      </c>
      <c r="AE47" s="146">
        <f t="shared" si="48"/>
        <v>46.817655510132425</v>
      </c>
      <c r="AF47" s="121">
        <f t="shared" si="40"/>
        <v>0.25</v>
      </c>
      <c r="AG47" s="146">
        <f t="shared" si="42"/>
        <v>46.817655510132425</v>
      </c>
      <c r="AH47" s="122">
        <f t="shared" si="43"/>
        <v>1</v>
      </c>
      <c r="AI47" s="111">
        <f t="shared" si="43"/>
        <v>187.2706220405297</v>
      </c>
      <c r="AJ47" s="147">
        <f t="shared" si="44"/>
        <v>93.635311020264851</v>
      </c>
      <c r="AK47" s="146">
        <f t="shared" si="45"/>
        <v>93.635311020264851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9" ht="14" customHeight="1">
      <c r="A48" s="85" t="str">
        <f>IF(Poor!A48=0,"",Poor!A48)</f>
        <v>Other cashcrop (cabbage): kg produced</v>
      </c>
      <c r="B48" s="103">
        <f>IF([1]Summ!$J1083="",0,[1]Summ!$J1083)</f>
        <v>800</v>
      </c>
      <c r="C48" s="103">
        <f>IF([1]Summ!$K1083="",0,[1]Summ!$K1083)</f>
        <v>0</v>
      </c>
      <c r="D48" s="38">
        <f t="shared" si="33"/>
        <v>800</v>
      </c>
      <c r="E48" s="75">
        <f>Middle!E48</f>
        <v>1</v>
      </c>
      <c r="F48" s="75">
        <f>Middle!F48</f>
        <v>1.08</v>
      </c>
      <c r="G48" s="22">
        <f t="shared" si="41"/>
        <v>1.1200000000000001</v>
      </c>
      <c r="H48" s="24">
        <f t="shared" si="34"/>
        <v>1.08</v>
      </c>
      <c r="I48" s="39">
        <f t="shared" si="35"/>
        <v>864</v>
      </c>
      <c r="J48" s="38">
        <f t="shared" si="36"/>
        <v>864.00000000000011</v>
      </c>
      <c r="K48" s="40">
        <f t="shared" si="37"/>
        <v>2.3032036777975093E-3</v>
      </c>
      <c r="L48" s="22">
        <f t="shared" si="38"/>
        <v>2.4874599720213103E-3</v>
      </c>
      <c r="M48" s="24">
        <f t="shared" si="39"/>
        <v>2.4874599720213103E-3</v>
      </c>
      <c r="N48" s="2"/>
      <c r="O48" s="2"/>
      <c r="P48" s="2"/>
      <c r="Q48" s="2"/>
      <c r="R48" s="2"/>
      <c r="S48" s="2"/>
      <c r="T48" s="69"/>
      <c r="U48" s="56"/>
      <c r="V48" s="56"/>
      <c r="W48" s="109"/>
      <c r="X48" s="117"/>
      <c r="Y48" s="109"/>
      <c r="Z48" s="155">
        <f>Poor!Z48</f>
        <v>0.25</v>
      </c>
      <c r="AA48" s="146">
        <f t="shared" si="46"/>
        <v>216.00000000000003</v>
      </c>
      <c r="AB48" s="155">
        <f>Poor!AB48</f>
        <v>0.25</v>
      </c>
      <c r="AC48" s="146">
        <f t="shared" si="47"/>
        <v>216.00000000000003</v>
      </c>
      <c r="AD48" s="155">
        <f>Poor!AD48</f>
        <v>0.25</v>
      </c>
      <c r="AE48" s="146">
        <f t="shared" si="48"/>
        <v>216.00000000000003</v>
      </c>
      <c r="AF48" s="121">
        <f t="shared" si="40"/>
        <v>0.25</v>
      </c>
      <c r="AG48" s="146">
        <f t="shared" si="42"/>
        <v>216.00000000000003</v>
      </c>
      <c r="AH48" s="122">
        <f t="shared" si="43"/>
        <v>1</v>
      </c>
      <c r="AI48" s="111">
        <f t="shared" si="43"/>
        <v>864.00000000000011</v>
      </c>
      <c r="AJ48" s="147">
        <f t="shared" si="44"/>
        <v>432.00000000000006</v>
      </c>
      <c r="AK48" s="146">
        <f t="shared" si="45"/>
        <v>432.00000000000006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FISHING -- see worksheet Data 3</v>
      </c>
      <c r="B49" s="103">
        <f>IF([1]Summ!$J1084="",0,[1]Summ!$J1084)</f>
        <v>0</v>
      </c>
      <c r="C49" s="103">
        <f>IF([1]Summ!$K1084="",0,[1]Summ!$K1084)</f>
        <v>0</v>
      </c>
      <c r="D49" s="38">
        <f t="shared" si="33"/>
        <v>0</v>
      </c>
      <c r="E49" s="75">
        <f>Middle!E49</f>
        <v>1</v>
      </c>
      <c r="F49" s="75">
        <f>Middle!F49</f>
        <v>1</v>
      </c>
      <c r="G49" s="22">
        <f t="shared" si="41"/>
        <v>1.1200000000000001</v>
      </c>
      <c r="H49" s="24">
        <f t="shared" si="34"/>
        <v>1</v>
      </c>
      <c r="I49" s="39">
        <f t="shared" si="35"/>
        <v>0</v>
      </c>
      <c r="J49" s="38">
        <f t="shared" si="36"/>
        <v>0</v>
      </c>
      <c r="K49" s="40">
        <f t="shared" si="37"/>
        <v>0</v>
      </c>
      <c r="L49" s="22">
        <f t="shared" si="38"/>
        <v>0</v>
      </c>
      <c r="M49" s="24">
        <f t="shared" si="39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09"/>
      <c r="X49" s="117"/>
      <c r="Y49" s="109"/>
      <c r="Z49" s="155">
        <f>Poor!Z49</f>
        <v>0.25</v>
      </c>
      <c r="AA49" s="146">
        <f t="shared" si="46"/>
        <v>0</v>
      </c>
      <c r="AB49" s="155">
        <f>Poor!AB49</f>
        <v>0.25</v>
      </c>
      <c r="AC49" s="146">
        <f t="shared" si="47"/>
        <v>0</v>
      </c>
      <c r="AD49" s="155">
        <f>Poor!AD49</f>
        <v>0.25</v>
      </c>
      <c r="AE49" s="146">
        <f t="shared" si="48"/>
        <v>0</v>
      </c>
      <c r="AF49" s="121">
        <f t="shared" si="40"/>
        <v>0.25</v>
      </c>
      <c r="AG49" s="146">
        <f t="shared" si="42"/>
        <v>0</v>
      </c>
      <c r="AH49" s="122">
        <f t="shared" si="43"/>
        <v>1</v>
      </c>
      <c r="AI49" s="111">
        <f t="shared" si="43"/>
        <v>0</v>
      </c>
      <c r="AJ49" s="147">
        <f t="shared" si="44"/>
        <v>0</v>
      </c>
      <c r="AK49" s="146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3">
        <f>IF([1]Summ!$J1085="",0,[1]Summ!$J1085)</f>
        <v>0</v>
      </c>
      <c r="C50" s="103">
        <f>IF([1]Summ!$K1085="",0,[1]Summ!$K1085)</f>
        <v>0</v>
      </c>
      <c r="D50" s="38">
        <f t="shared" si="33"/>
        <v>0</v>
      </c>
      <c r="E50" s="75">
        <f>Middle!E50</f>
        <v>0.8</v>
      </c>
      <c r="F50" s="75">
        <f>Middle!F50</f>
        <v>1</v>
      </c>
      <c r="G50" s="22">
        <f t="shared" si="41"/>
        <v>1.1200000000000001</v>
      </c>
      <c r="H50" s="24">
        <f t="shared" si="34"/>
        <v>0.8</v>
      </c>
      <c r="I50" s="39">
        <f t="shared" si="35"/>
        <v>0</v>
      </c>
      <c r="J50" s="38">
        <f t="shared" si="36"/>
        <v>0</v>
      </c>
      <c r="K50" s="40">
        <f t="shared" si="37"/>
        <v>0</v>
      </c>
      <c r="L50" s="22">
        <f t="shared" si="38"/>
        <v>0</v>
      </c>
      <c r="M50" s="24">
        <f t="shared" si="39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09"/>
      <c r="X50" s="117"/>
      <c r="Y50" s="109"/>
      <c r="Z50" s="155">
        <f>Poor!Z50</f>
        <v>0.25</v>
      </c>
      <c r="AA50" s="146">
        <f t="shared" si="46"/>
        <v>0</v>
      </c>
      <c r="AB50" s="155">
        <f>Poor!AB50</f>
        <v>0.25</v>
      </c>
      <c r="AC50" s="146">
        <f t="shared" si="47"/>
        <v>0</v>
      </c>
      <c r="AD50" s="155">
        <f>Poor!AD50</f>
        <v>0.25</v>
      </c>
      <c r="AE50" s="146">
        <f t="shared" si="48"/>
        <v>0</v>
      </c>
      <c r="AF50" s="121">
        <f t="shared" si="40"/>
        <v>0.25</v>
      </c>
      <c r="AG50" s="146">
        <f t="shared" si="42"/>
        <v>0</v>
      </c>
      <c r="AH50" s="122">
        <f t="shared" si="43"/>
        <v>1</v>
      </c>
      <c r="AI50" s="111">
        <f t="shared" si="43"/>
        <v>0</v>
      </c>
      <c r="AJ50" s="147">
        <f t="shared" si="44"/>
        <v>0</v>
      </c>
      <c r="AK50" s="146">
        <f t="shared" si="45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casual work -- see Data2</v>
      </c>
      <c r="B51" s="103">
        <f>IF([1]Summ!$J1086="",0,[1]Summ!$J1086)</f>
        <v>0</v>
      </c>
      <c r="C51" s="103">
        <f>IF([1]Summ!$K1086="",0,[1]Summ!$K1086)</f>
        <v>0</v>
      </c>
      <c r="D51" s="38">
        <f t="shared" si="33"/>
        <v>0</v>
      </c>
      <c r="E51" s="75">
        <f>Middle!E51</f>
        <v>0.87</v>
      </c>
      <c r="F51" s="75">
        <f>Middle!F51</f>
        <v>1.1100000000000001</v>
      </c>
      <c r="G51" s="22">
        <f t="shared" si="41"/>
        <v>1.1200000000000001</v>
      </c>
      <c r="H51" s="24">
        <f t="shared" si="34"/>
        <v>0.96570000000000011</v>
      </c>
      <c r="I51" s="39">
        <f t="shared" si="35"/>
        <v>0</v>
      </c>
      <c r="J51" s="38">
        <f t="shared" si="36"/>
        <v>0</v>
      </c>
      <c r="K51" s="40">
        <f t="shared" si="37"/>
        <v>0</v>
      </c>
      <c r="L51" s="22">
        <f t="shared" si="38"/>
        <v>0</v>
      </c>
      <c r="M51" s="24">
        <f t="shared" si="39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09"/>
      <c r="X51" s="117"/>
      <c r="Y51" s="109"/>
      <c r="Z51" s="155">
        <f>Poor!Z51</f>
        <v>0.25</v>
      </c>
      <c r="AA51" s="146">
        <f t="shared" si="46"/>
        <v>0</v>
      </c>
      <c r="AB51" s="155">
        <f>Poor!AB51</f>
        <v>0.25</v>
      </c>
      <c r="AC51" s="146">
        <f t="shared" si="47"/>
        <v>0</v>
      </c>
      <c r="AD51" s="155">
        <f>Poor!AD51</f>
        <v>0.25</v>
      </c>
      <c r="AE51" s="146">
        <f t="shared" si="48"/>
        <v>0</v>
      </c>
      <c r="AF51" s="121">
        <f t="shared" si="40"/>
        <v>0.25</v>
      </c>
      <c r="AG51" s="146">
        <f t="shared" si="42"/>
        <v>0</v>
      </c>
      <c r="AH51" s="122">
        <f t="shared" si="43"/>
        <v>1</v>
      </c>
      <c r="AI51" s="111">
        <f t="shared" si="43"/>
        <v>0</v>
      </c>
      <c r="AJ51" s="147">
        <f t="shared" si="44"/>
        <v>0</v>
      </c>
      <c r="AK51" s="146">
        <f t="shared" si="45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casual work -- see Data2</v>
      </c>
      <c r="B52" s="103">
        <f>IF([1]Summ!$J1087="",0,[1]Summ!$J1087)</f>
        <v>0</v>
      </c>
      <c r="C52" s="103">
        <f>IF([1]Summ!$K1087="",0,[1]Summ!$K1087)</f>
        <v>0</v>
      </c>
      <c r="D52" s="38">
        <f t="shared" si="33"/>
        <v>0</v>
      </c>
      <c r="E52" s="75">
        <f>Middle!E52</f>
        <v>1</v>
      </c>
      <c r="F52" s="75">
        <f>Middle!F52</f>
        <v>1.1000000000000001</v>
      </c>
      <c r="G52" s="22">
        <f t="shared" si="41"/>
        <v>1.1200000000000001</v>
      </c>
      <c r="H52" s="24">
        <f t="shared" si="34"/>
        <v>1.1000000000000001</v>
      </c>
      <c r="I52" s="39">
        <f t="shared" si="35"/>
        <v>0</v>
      </c>
      <c r="J52" s="38">
        <f t="shared" si="36"/>
        <v>0</v>
      </c>
      <c r="K52" s="40">
        <f t="shared" si="37"/>
        <v>0</v>
      </c>
      <c r="L52" s="22">
        <f t="shared" si="38"/>
        <v>0</v>
      </c>
      <c r="M52" s="24">
        <f t="shared" si="39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09"/>
      <c r="X52" s="117"/>
      <c r="Y52" s="109"/>
      <c r="Z52" s="155">
        <f>Poor!Z52</f>
        <v>0.25</v>
      </c>
      <c r="AA52" s="146">
        <f t="shared" si="46"/>
        <v>0</v>
      </c>
      <c r="AB52" s="155">
        <f>Poor!AB52</f>
        <v>0.25</v>
      </c>
      <c r="AC52" s="146">
        <f t="shared" si="47"/>
        <v>0</v>
      </c>
      <c r="AD52" s="155">
        <f>Poor!AD52</f>
        <v>0.25</v>
      </c>
      <c r="AE52" s="146">
        <f t="shared" si="48"/>
        <v>0</v>
      </c>
      <c r="AF52" s="121">
        <f t="shared" si="40"/>
        <v>0.25</v>
      </c>
      <c r="AG52" s="146">
        <f t="shared" si="42"/>
        <v>0</v>
      </c>
      <c r="AH52" s="122">
        <f t="shared" si="43"/>
        <v>1</v>
      </c>
      <c r="AI52" s="111">
        <f t="shared" si="43"/>
        <v>0</v>
      </c>
      <c r="AJ52" s="147">
        <f t="shared" si="44"/>
        <v>0</v>
      </c>
      <c r="AK52" s="146">
        <f t="shared" si="45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casual work -- see Data2</v>
      </c>
      <c r="B53" s="103">
        <f>IF([1]Summ!$J1088="",0,[1]Summ!$J1088)</f>
        <v>0</v>
      </c>
      <c r="C53" s="103">
        <f>IF([1]Summ!$K1088="",0,[1]Summ!$K1088)</f>
        <v>0</v>
      </c>
      <c r="D53" s="38">
        <f t="shared" si="33"/>
        <v>0</v>
      </c>
      <c r="E53" s="75">
        <f>Middle!E53</f>
        <v>1</v>
      </c>
      <c r="F53" s="75">
        <f>Middle!F53</f>
        <v>1.1000000000000001</v>
      </c>
      <c r="G53" s="22">
        <f t="shared" si="41"/>
        <v>1.1200000000000001</v>
      </c>
      <c r="H53" s="24">
        <f t="shared" si="34"/>
        <v>1.1000000000000001</v>
      </c>
      <c r="I53" s="39">
        <f t="shared" si="35"/>
        <v>0</v>
      </c>
      <c r="J53" s="38">
        <f t="shared" si="36"/>
        <v>0</v>
      </c>
      <c r="K53" s="40">
        <f t="shared" si="37"/>
        <v>0</v>
      </c>
      <c r="L53" s="22">
        <f t="shared" si="38"/>
        <v>0</v>
      </c>
      <c r="M53" s="24">
        <f t="shared" si="39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09"/>
      <c r="X53" s="117"/>
      <c r="Y53" s="109"/>
      <c r="Z53" s="155">
        <f>Poor!Z53</f>
        <v>0.25</v>
      </c>
      <c r="AA53" s="146">
        <f t="shared" si="46"/>
        <v>0</v>
      </c>
      <c r="AB53" s="155">
        <f>Poor!AB53</f>
        <v>0.25</v>
      </c>
      <c r="AC53" s="146">
        <f t="shared" si="47"/>
        <v>0</v>
      </c>
      <c r="AD53" s="155">
        <f>Poor!AD53</f>
        <v>0.25</v>
      </c>
      <c r="AE53" s="146">
        <f t="shared" si="48"/>
        <v>0</v>
      </c>
      <c r="AF53" s="121">
        <f t="shared" si="40"/>
        <v>0.25</v>
      </c>
      <c r="AG53" s="146">
        <f t="shared" si="42"/>
        <v>0</v>
      </c>
      <c r="AH53" s="122">
        <f t="shared" si="43"/>
        <v>1</v>
      </c>
      <c r="AI53" s="111">
        <f t="shared" si="43"/>
        <v>0</v>
      </c>
      <c r="AJ53" s="147">
        <f t="shared" si="44"/>
        <v>0</v>
      </c>
      <c r="AK53" s="146">
        <f t="shared" si="45"/>
        <v>0</v>
      </c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Labour migration: no. people per HH</v>
      </c>
      <c r="B54" s="103">
        <f>IF([1]Summ!$J1089="",0,[1]Summ!$J1089)</f>
        <v>0</v>
      </c>
      <c r="C54" s="103">
        <f>IF([1]Summ!$K1089="",0,[1]Summ!$K1089)</f>
        <v>0</v>
      </c>
      <c r="D54" s="38">
        <f t="shared" si="33"/>
        <v>0</v>
      </c>
      <c r="E54" s="75">
        <f>Middle!E54</f>
        <v>1</v>
      </c>
      <c r="F54" s="75">
        <f>Middle!F54</f>
        <v>1.07</v>
      </c>
      <c r="G54" s="22">
        <f t="shared" si="41"/>
        <v>1.1200000000000001</v>
      </c>
      <c r="H54" s="24">
        <f t="shared" si="34"/>
        <v>1.07</v>
      </c>
      <c r="I54" s="39">
        <f t="shared" si="35"/>
        <v>0</v>
      </c>
      <c r="J54" s="38">
        <f t="shared" si="36"/>
        <v>0</v>
      </c>
      <c r="K54" s="40">
        <f t="shared" si="37"/>
        <v>0</v>
      </c>
      <c r="L54" s="22">
        <f t="shared" si="38"/>
        <v>0</v>
      </c>
      <c r="M54" s="24">
        <f t="shared" si="39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09"/>
      <c r="X54" s="117"/>
      <c r="Y54" s="109"/>
      <c r="Z54" s="155">
        <f>Poor!Z54</f>
        <v>0.25</v>
      </c>
      <c r="AA54" s="146">
        <f t="shared" si="46"/>
        <v>0</v>
      </c>
      <c r="AB54" s="155">
        <f>Poor!AB54</f>
        <v>0.25</v>
      </c>
      <c r="AC54" s="146">
        <f t="shared" si="47"/>
        <v>0</v>
      </c>
      <c r="AD54" s="155">
        <f>Poor!AD54</f>
        <v>0.25</v>
      </c>
      <c r="AE54" s="146">
        <f t="shared" si="48"/>
        <v>0</v>
      </c>
      <c r="AF54" s="121">
        <f t="shared" si="40"/>
        <v>0.25</v>
      </c>
      <c r="AG54" s="146">
        <f t="shared" si="42"/>
        <v>0</v>
      </c>
      <c r="AH54" s="122">
        <f t="shared" si="43"/>
        <v>1</v>
      </c>
      <c r="AI54" s="111">
        <f t="shared" si="43"/>
        <v>0</v>
      </c>
      <c r="AJ54" s="147">
        <f t="shared" si="44"/>
        <v>0</v>
      </c>
      <c r="AK54" s="146">
        <f t="shared" si="45"/>
        <v>0</v>
      </c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Formal Employment (e.g. teachers, salaried staff, etc.)</v>
      </c>
      <c r="B55" s="103">
        <f>IF([1]Summ!$J1090="",0,[1]Summ!$J1090)</f>
        <v>144000</v>
      </c>
      <c r="C55" s="103">
        <f>IF([1]Summ!$K1090="",0,[1]Summ!$K1090)</f>
        <v>0</v>
      </c>
      <c r="D55" s="38">
        <f t="shared" si="33"/>
        <v>144000</v>
      </c>
      <c r="E55" s="75">
        <f>Middle!E55</f>
        <v>1</v>
      </c>
      <c r="F55" s="75">
        <f>Middle!F55</f>
        <v>1.07</v>
      </c>
      <c r="G55" s="22">
        <f t="shared" si="41"/>
        <v>1.1200000000000001</v>
      </c>
      <c r="H55" s="24">
        <f t="shared" si="34"/>
        <v>1.07</v>
      </c>
      <c r="I55" s="39">
        <f t="shared" si="35"/>
        <v>154080</v>
      </c>
      <c r="J55" s="38">
        <f t="shared" si="36"/>
        <v>154080</v>
      </c>
      <c r="K55" s="40">
        <f t="shared" si="37"/>
        <v>0.41457666200355164</v>
      </c>
      <c r="L55" s="22">
        <f t="shared" si="38"/>
        <v>0.44359702834380027</v>
      </c>
      <c r="M55" s="24">
        <f t="shared" si="39"/>
        <v>0.44359702834380027</v>
      </c>
      <c r="N55" s="2"/>
      <c r="O55" s="2"/>
      <c r="P55" s="2"/>
      <c r="Q55" s="2"/>
      <c r="R55" s="2"/>
      <c r="S55" s="2"/>
      <c r="T55" s="2"/>
      <c r="U55" s="56"/>
      <c r="V55" s="56"/>
      <c r="W55" s="109"/>
      <c r="X55" s="117"/>
      <c r="Y55" s="109"/>
      <c r="Z55" s="155">
        <f>Poor!Z55</f>
        <v>0.25</v>
      </c>
      <c r="AA55" s="146">
        <f t="shared" si="46"/>
        <v>38520</v>
      </c>
      <c r="AB55" s="155">
        <f>Poor!AB55</f>
        <v>0.25</v>
      </c>
      <c r="AC55" s="146">
        <f t="shared" si="47"/>
        <v>38520</v>
      </c>
      <c r="AD55" s="155">
        <f>Poor!AD55</f>
        <v>0.25</v>
      </c>
      <c r="AE55" s="146">
        <f t="shared" si="48"/>
        <v>38520</v>
      </c>
      <c r="AF55" s="121">
        <f t="shared" si="40"/>
        <v>0.25</v>
      </c>
      <c r="AG55" s="146">
        <f t="shared" si="42"/>
        <v>38520</v>
      </c>
      <c r="AH55" s="122">
        <f t="shared" si="43"/>
        <v>1</v>
      </c>
      <c r="AI55" s="111">
        <f t="shared" si="43"/>
        <v>154080</v>
      </c>
      <c r="AJ55" s="147">
        <f t="shared" si="44"/>
        <v>77040</v>
      </c>
      <c r="AK55" s="146">
        <f t="shared" si="45"/>
        <v>77040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Self-employment -- see Data2</v>
      </c>
      <c r="B56" s="103">
        <f>IF([1]Summ!$J1091="",0,[1]Summ!$J1091)</f>
        <v>0</v>
      </c>
      <c r="C56" s="103">
        <f>IF([1]Summ!$K1091="",0,[1]Summ!$K1091)</f>
        <v>0</v>
      </c>
      <c r="D56" s="38">
        <f t="shared" si="33"/>
        <v>0</v>
      </c>
      <c r="E56" s="75">
        <f>Middle!E56</f>
        <v>1</v>
      </c>
      <c r="F56" s="75">
        <f>Middle!F56</f>
        <v>1.1000000000000001</v>
      </c>
      <c r="G56" s="22">
        <f t="shared" si="41"/>
        <v>1.1200000000000001</v>
      </c>
      <c r="H56" s="24">
        <f t="shared" si="34"/>
        <v>1.1000000000000001</v>
      </c>
      <c r="I56" s="39">
        <f t="shared" si="35"/>
        <v>0</v>
      </c>
      <c r="J56" s="38">
        <f t="shared" si="36"/>
        <v>0</v>
      </c>
      <c r="K56" s="40">
        <f t="shared" si="37"/>
        <v>0</v>
      </c>
      <c r="L56" s="22">
        <f t="shared" si="38"/>
        <v>0</v>
      </c>
      <c r="M56" s="24">
        <f t="shared" si="39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09"/>
      <c r="X56" s="117"/>
      <c r="Y56" s="109"/>
      <c r="Z56" s="155">
        <f>Poor!Z56</f>
        <v>0.25</v>
      </c>
      <c r="AA56" s="146">
        <f t="shared" si="46"/>
        <v>0</v>
      </c>
      <c r="AB56" s="155">
        <f>Poor!AB56</f>
        <v>0.25</v>
      </c>
      <c r="AC56" s="146">
        <f t="shared" si="47"/>
        <v>0</v>
      </c>
      <c r="AD56" s="155">
        <f>Poor!AD56</f>
        <v>0.25</v>
      </c>
      <c r="AE56" s="146">
        <f t="shared" si="48"/>
        <v>0</v>
      </c>
      <c r="AF56" s="121">
        <f t="shared" si="40"/>
        <v>0.25</v>
      </c>
      <c r="AG56" s="146">
        <f t="shared" si="42"/>
        <v>0</v>
      </c>
      <c r="AH56" s="122">
        <f t="shared" ref="AH56:AI61" si="49">SUM(Z56,AB56,AD56,AF56)</f>
        <v>1</v>
      </c>
      <c r="AI56" s="111">
        <f t="shared" si="49"/>
        <v>0</v>
      </c>
      <c r="AJ56" s="147">
        <f t="shared" si="44"/>
        <v>0</v>
      </c>
      <c r="AK56" s="146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Small business -- see Data2</v>
      </c>
      <c r="B57" s="103">
        <f>IF([1]Summ!$J1092="",0,[1]Summ!$J1092)</f>
        <v>144000</v>
      </c>
      <c r="C57" s="103">
        <f>IF([1]Summ!$K1092="",0,[1]Summ!$K1092)</f>
        <v>0</v>
      </c>
      <c r="D57" s="38">
        <f t="shared" si="33"/>
        <v>144000</v>
      </c>
      <c r="E57" s="75">
        <f>Middle!E57</f>
        <v>1</v>
      </c>
      <c r="F57" s="75">
        <f>Middle!F57</f>
        <v>1.05</v>
      </c>
      <c r="G57" s="22">
        <f t="shared" si="41"/>
        <v>1.1200000000000001</v>
      </c>
      <c r="H57" s="24">
        <f t="shared" si="34"/>
        <v>1.05</v>
      </c>
      <c r="I57" s="39">
        <f t="shared" si="35"/>
        <v>151200</v>
      </c>
      <c r="J57" s="38">
        <f t="shared" si="36"/>
        <v>151200</v>
      </c>
      <c r="K57" s="40">
        <f t="shared" si="37"/>
        <v>0.41457666200355164</v>
      </c>
      <c r="L57" s="22">
        <f t="shared" si="38"/>
        <v>0.43530549510372923</v>
      </c>
      <c r="M57" s="24">
        <f t="shared" si="39"/>
        <v>0.43530549510372923</v>
      </c>
      <c r="N57" s="2"/>
      <c r="O57" s="2"/>
      <c r="P57" s="2"/>
      <c r="Q57" s="2"/>
      <c r="R57" s="2"/>
      <c r="S57" s="2"/>
      <c r="T57" s="2"/>
      <c r="U57" s="56"/>
      <c r="V57" s="56"/>
      <c r="W57" s="109"/>
      <c r="X57" s="117"/>
      <c r="Y57" s="109"/>
      <c r="Z57" s="155">
        <f>Poor!Z57</f>
        <v>0.25</v>
      </c>
      <c r="AA57" s="146">
        <f t="shared" si="46"/>
        <v>37800</v>
      </c>
      <c r="AB57" s="155">
        <f>Poor!AB57</f>
        <v>0.25</v>
      </c>
      <c r="AC57" s="146">
        <f t="shared" si="47"/>
        <v>37800</v>
      </c>
      <c r="AD57" s="155">
        <f>Poor!AD57</f>
        <v>0.25</v>
      </c>
      <c r="AE57" s="146">
        <f t="shared" si="48"/>
        <v>37800</v>
      </c>
      <c r="AF57" s="121">
        <f t="shared" si="40"/>
        <v>0.25</v>
      </c>
      <c r="AG57" s="146">
        <f t="shared" si="42"/>
        <v>37800</v>
      </c>
      <c r="AH57" s="122">
        <f t="shared" si="49"/>
        <v>1</v>
      </c>
      <c r="AI57" s="111">
        <f t="shared" si="49"/>
        <v>151200</v>
      </c>
      <c r="AJ57" s="147">
        <f t="shared" si="44"/>
        <v>75600</v>
      </c>
      <c r="AK57" s="146">
        <f t="shared" si="45"/>
        <v>75600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Social Cash Transfers -- see Data2</v>
      </c>
      <c r="B58" s="103">
        <f>IF([1]Summ!$J1093="",0,[1]Summ!$J1093)</f>
        <v>7917.2727272727288</v>
      </c>
      <c r="C58" s="103">
        <f>IF([1]Summ!$K1093="",0,[1]Summ!$K1093)</f>
        <v>0</v>
      </c>
      <c r="D58" s="38">
        <f t="shared" si="33"/>
        <v>7917.2727272727288</v>
      </c>
      <c r="E58" s="75">
        <f>Middle!E58</f>
        <v>1</v>
      </c>
      <c r="F58" s="75">
        <f>Middle!F58</f>
        <v>1.1100000000000001</v>
      </c>
      <c r="G58" s="22">
        <f t="shared" si="41"/>
        <v>1.1200000000000001</v>
      </c>
      <c r="H58" s="24">
        <f t="shared" si="34"/>
        <v>1.1100000000000001</v>
      </c>
      <c r="I58" s="39">
        <f t="shared" si="35"/>
        <v>8788.1727272727294</v>
      </c>
      <c r="J58" s="38">
        <f t="shared" si="36"/>
        <v>8788.1727272727312</v>
      </c>
      <c r="K58" s="40">
        <f t="shared" si="37"/>
        <v>2.2793864579475583E-2</v>
      </c>
      <c r="L58" s="22">
        <f t="shared" si="38"/>
        <v>2.5301189683217901E-2</v>
      </c>
      <c r="M58" s="24">
        <f t="shared" si="39"/>
        <v>2.5301189683217904E-2</v>
      </c>
      <c r="N58" s="2"/>
      <c r="O58" s="2"/>
      <c r="P58" s="2"/>
      <c r="Q58" s="2"/>
      <c r="R58" s="2"/>
      <c r="S58" s="2"/>
      <c r="T58" s="2"/>
      <c r="U58" s="56"/>
      <c r="V58" s="56"/>
      <c r="W58" s="109"/>
      <c r="X58" s="117"/>
      <c r="Y58" s="109"/>
      <c r="Z58" s="155">
        <f>Poor!Z58</f>
        <v>0.25</v>
      </c>
      <c r="AA58" s="146">
        <f t="shared" si="46"/>
        <v>2197.0431818181828</v>
      </c>
      <c r="AB58" s="155">
        <f>Poor!AB58</f>
        <v>0.25</v>
      </c>
      <c r="AC58" s="146">
        <f t="shared" si="47"/>
        <v>2197.0431818181828</v>
      </c>
      <c r="AD58" s="155">
        <f>Poor!AD58</f>
        <v>0.25</v>
      </c>
      <c r="AE58" s="146">
        <f t="shared" si="48"/>
        <v>2197.0431818181828</v>
      </c>
      <c r="AF58" s="121">
        <f t="shared" si="40"/>
        <v>0.25</v>
      </c>
      <c r="AG58" s="146">
        <f t="shared" si="42"/>
        <v>2197.0431818181828</v>
      </c>
      <c r="AH58" s="122">
        <f t="shared" si="49"/>
        <v>1</v>
      </c>
      <c r="AI58" s="111">
        <f t="shared" si="49"/>
        <v>8788.1727272727312</v>
      </c>
      <c r="AJ58" s="147">
        <f t="shared" si="44"/>
        <v>4394.0863636363656</v>
      </c>
      <c r="AK58" s="146">
        <f t="shared" si="45"/>
        <v>4394.0863636363656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3">
        <f>IF([1]Summ!$J1094="",0,[1]Summ!$J1094)</f>
        <v>14400</v>
      </c>
      <c r="C59" s="103">
        <f>IF([1]Summ!$K1094="",0,[1]Summ!$K1094)</f>
        <v>0</v>
      </c>
      <c r="D59" s="38">
        <f t="shared" si="33"/>
        <v>14400</v>
      </c>
      <c r="E59" s="75">
        <f>Middle!E59</f>
        <v>1</v>
      </c>
      <c r="F59" s="75">
        <f>Middle!F59</f>
        <v>1.05</v>
      </c>
      <c r="G59" s="22">
        <f t="shared" si="41"/>
        <v>1.1200000000000001</v>
      </c>
      <c r="H59" s="24">
        <f t="shared" si="34"/>
        <v>1.05</v>
      </c>
      <c r="I59" s="39">
        <f t="shared" si="35"/>
        <v>15120</v>
      </c>
      <c r="J59" s="38">
        <f t="shared" si="36"/>
        <v>15120.000000000002</v>
      </c>
      <c r="K59" s="40">
        <f t="shared" si="37"/>
        <v>4.1457666200355167E-2</v>
      </c>
      <c r="L59" s="22">
        <f t="shared" si="38"/>
        <v>4.3530549510372926E-2</v>
      </c>
      <c r="M59" s="24">
        <f t="shared" si="39"/>
        <v>4.3530549510372933E-2</v>
      </c>
      <c r="N59" s="2"/>
      <c r="O59" s="2"/>
      <c r="P59" s="2"/>
      <c r="Q59" s="2"/>
      <c r="R59" s="2"/>
      <c r="S59" s="2"/>
      <c r="T59" s="2"/>
      <c r="U59" s="56"/>
      <c r="V59" s="56"/>
      <c r="W59" s="109"/>
      <c r="X59" s="117"/>
      <c r="Y59" s="109"/>
      <c r="Z59" s="155">
        <f>Poor!Z59</f>
        <v>0.25</v>
      </c>
      <c r="AA59" s="146">
        <f t="shared" si="46"/>
        <v>3780.0000000000005</v>
      </c>
      <c r="AB59" s="155">
        <f>Poor!AB59</f>
        <v>0.25</v>
      </c>
      <c r="AC59" s="146">
        <f t="shared" si="47"/>
        <v>3780.0000000000005</v>
      </c>
      <c r="AD59" s="155">
        <f>Poor!AD59</f>
        <v>0.25</v>
      </c>
      <c r="AE59" s="146">
        <f t="shared" si="48"/>
        <v>3780.0000000000005</v>
      </c>
      <c r="AF59" s="121">
        <f t="shared" si="40"/>
        <v>0.25</v>
      </c>
      <c r="AG59" s="146">
        <f t="shared" si="42"/>
        <v>3780.0000000000005</v>
      </c>
      <c r="AH59" s="122">
        <f t="shared" si="49"/>
        <v>1</v>
      </c>
      <c r="AI59" s="111">
        <f t="shared" si="49"/>
        <v>15120.000000000002</v>
      </c>
      <c r="AJ59" s="147">
        <f t="shared" si="44"/>
        <v>7560.0000000000009</v>
      </c>
      <c r="AK59" s="146">
        <f t="shared" si="45"/>
        <v>7560.0000000000009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3">
        <f>IF([1]Summ!$J1095="",0,[1]Summ!$J1095)</f>
        <v>0</v>
      </c>
      <c r="C60" s="103">
        <f>IF([1]Summ!$K1095="",0,[1]Summ!$K1095)</f>
        <v>0</v>
      </c>
      <c r="D60" s="38">
        <f t="shared" si="33"/>
        <v>0</v>
      </c>
      <c r="E60" s="75">
        <f>Middle!E60</f>
        <v>1</v>
      </c>
      <c r="F60" s="75">
        <f>Middle!F60</f>
        <v>1</v>
      </c>
      <c r="G60" s="22">
        <f t="shared" si="41"/>
        <v>1.1200000000000001</v>
      </c>
      <c r="H60" s="24">
        <f t="shared" si="34"/>
        <v>1</v>
      </c>
      <c r="I60" s="39">
        <f t="shared" si="35"/>
        <v>0</v>
      </c>
      <c r="J60" s="38">
        <f t="shared" si="36"/>
        <v>0</v>
      </c>
      <c r="K60" s="40">
        <f t="shared" si="37"/>
        <v>0</v>
      </c>
      <c r="L60" s="22">
        <f t="shared" si="38"/>
        <v>0</v>
      </c>
      <c r="M60" s="24">
        <f t="shared" si="39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09"/>
      <c r="X60" s="117"/>
      <c r="Y60" s="109"/>
      <c r="Z60" s="155">
        <f>Poor!Z60</f>
        <v>0.25</v>
      </c>
      <c r="AA60" s="146">
        <f t="shared" si="46"/>
        <v>0</v>
      </c>
      <c r="AB60" s="155">
        <f>Poor!AB60</f>
        <v>0.25</v>
      </c>
      <c r="AC60" s="146">
        <f t="shared" si="47"/>
        <v>0</v>
      </c>
      <c r="AD60" s="155">
        <f>Poor!AD60</f>
        <v>0.25</v>
      </c>
      <c r="AE60" s="146">
        <f t="shared" si="48"/>
        <v>0</v>
      </c>
      <c r="AF60" s="121">
        <f t="shared" si="40"/>
        <v>0.25</v>
      </c>
      <c r="AG60" s="146">
        <f t="shared" si="42"/>
        <v>0</v>
      </c>
      <c r="AH60" s="122">
        <f t="shared" si="49"/>
        <v>1</v>
      </c>
      <c r="AI60" s="111">
        <f t="shared" si="49"/>
        <v>0</v>
      </c>
      <c r="AJ60" s="147">
        <f t="shared" si="44"/>
        <v>0</v>
      </c>
      <c r="AK60" s="146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3">
        <f>IF([1]Summ!$J1096="",0,[1]Summ!$J1096)</f>
        <v>0</v>
      </c>
      <c r="C61" s="103">
        <f>IF([1]Summ!$K1096="",0,[1]Summ!$K1096)</f>
        <v>0</v>
      </c>
      <c r="D61" s="38">
        <f t="shared" si="33"/>
        <v>0</v>
      </c>
      <c r="E61" s="75">
        <f>Middle!E61</f>
        <v>1</v>
      </c>
      <c r="F61" s="75">
        <f>Middle!F61</f>
        <v>1</v>
      </c>
      <c r="G61" s="22">
        <f t="shared" si="41"/>
        <v>1.1200000000000001</v>
      </c>
      <c r="H61" s="24">
        <f t="shared" si="34"/>
        <v>1</v>
      </c>
      <c r="I61" s="39">
        <f t="shared" si="35"/>
        <v>0</v>
      </c>
      <c r="J61" s="38">
        <f t="shared" si="36"/>
        <v>0</v>
      </c>
      <c r="K61" s="40">
        <f t="shared" si="37"/>
        <v>0</v>
      </c>
      <c r="L61" s="22">
        <f t="shared" si="38"/>
        <v>0</v>
      </c>
      <c r="M61" s="24">
        <f t="shared" si="39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09"/>
      <c r="X61" s="117"/>
      <c r="Y61" s="109"/>
      <c r="Z61" s="155">
        <f>Poor!Z61</f>
        <v>0.25</v>
      </c>
      <c r="AA61" s="148">
        <f t="shared" si="46"/>
        <v>0</v>
      </c>
      <c r="AB61" s="155">
        <f>Poor!AB61</f>
        <v>0.25</v>
      </c>
      <c r="AC61" s="148">
        <f t="shared" si="47"/>
        <v>0</v>
      </c>
      <c r="AD61" s="155">
        <f>Poor!AD61</f>
        <v>0.25</v>
      </c>
      <c r="AE61" s="148">
        <f t="shared" si="48"/>
        <v>0</v>
      </c>
      <c r="AF61" s="149">
        <f t="shared" si="40"/>
        <v>0.25</v>
      </c>
      <c r="AG61" s="148">
        <f t="shared" si="42"/>
        <v>0</v>
      </c>
      <c r="AH61" s="122">
        <f t="shared" si="49"/>
        <v>1</v>
      </c>
      <c r="AI61" s="111">
        <f t="shared" si="49"/>
        <v>0</v>
      </c>
      <c r="AJ61" s="150">
        <f t="shared" si="44"/>
        <v>0</v>
      </c>
      <c r="AK61" s="148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39" t="s">
        <v>32</v>
      </c>
      <c r="B62" s="39">
        <f>SUM(B39:B61)</f>
        <v>347342.27272727271</v>
      </c>
      <c r="C62" s="39">
        <f>SUM(C39:C61)</f>
        <v>-11825</v>
      </c>
      <c r="D62" s="42">
        <f>SUM(D39:D61)</f>
        <v>335517.27272727271</v>
      </c>
      <c r="E62" s="32"/>
      <c r="F62" s="32"/>
      <c r="G62" s="32"/>
      <c r="H62" s="31"/>
      <c r="I62" s="39">
        <f>SUM(I39:I61)</f>
        <v>356714.17272727273</v>
      </c>
      <c r="J62" s="39">
        <f>SUM(J39:J61)</f>
        <v>368998.27543952008</v>
      </c>
      <c r="K62" s="40">
        <f>SUM(K39:K61)</f>
        <v>1</v>
      </c>
      <c r="L62" s="22">
        <f>SUM(L39:L61)</f>
        <v>1.0623438369017721</v>
      </c>
      <c r="M62" s="24">
        <f>SUM(M39:M61)</f>
        <v>1.062347731366551</v>
      </c>
      <c r="N62" s="2"/>
      <c r="O62" s="2"/>
      <c r="P62" s="2"/>
      <c r="Q62" s="2"/>
      <c r="R62" s="2"/>
      <c r="S62" s="2"/>
      <c r="T62" s="2"/>
      <c r="U62" s="56"/>
      <c r="V62" s="56"/>
      <c r="W62" s="109"/>
      <c r="X62" s="151"/>
      <c r="Y62" s="109"/>
      <c r="Z62" s="136"/>
      <c r="AA62" s="152">
        <f>SUM(AA39:AA61)</f>
        <v>84538.078676560195</v>
      </c>
      <c r="AB62" s="136"/>
      <c r="AC62" s="152">
        <f>SUM(AC39:AC61)</f>
        <v>83860.004007703159</v>
      </c>
      <c r="AD62" s="136"/>
      <c r="AE62" s="152">
        <f>SUM(AE39:AE61)</f>
        <v>85216.153345417217</v>
      </c>
      <c r="AF62" s="136"/>
      <c r="AG62" s="152">
        <f>SUM(AG39:AG61)</f>
        <v>115384.03940983953</v>
      </c>
      <c r="AH62" s="136"/>
      <c r="AI62" s="152">
        <f>SUM(AI39:AI61)</f>
        <v>368998.27543952008</v>
      </c>
      <c r="AJ62" s="152">
        <f>SUM(AJ39:AJ61)</f>
        <v>168398.08268426335</v>
      </c>
      <c r="AK62" s="152">
        <f>SUM(AK39:AK61)</f>
        <v>200600.19275525675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3.5" customHeight="1">
      <c r="A63" s="78"/>
      <c r="B63" s="78"/>
      <c r="C63" s="78"/>
      <c r="D63" s="44"/>
      <c r="E63" s="14"/>
      <c r="F63" s="14"/>
      <c r="G63" s="14"/>
      <c r="H63" s="44"/>
      <c r="I63" s="14"/>
      <c r="J63" s="44"/>
      <c r="K63" s="45"/>
      <c r="L63" s="11"/>
      <c r="M63" s="10"/>
      <c r="N63" s="2"/>
      <c r="O63" s="2"/>
      <c r="P63" s="2"/>
      <c r="Q63" s="2"/>
      <c r="R63" s="2"/>
      <c r="S63" s="2"/>
      <c r="T63" s="2"/>
      <c r="U63" s="56"/>
      <c r="V63" s="56"/>
      <c r="W63" s="109"/>
      <c r="X63" s="117"/>
      <c r="Y63" s="109"/>
      <c r="Z63" s="142"/>
      <c r="AA63" s="153"/>
      <c r="AB63" s="142"/>
      <c r="AC63" s="153"/>
      <c r="AD63" s="142"/>
      <c r="AE63" s="153"/>
      <c r="AF63" s="142"/>
      <c r="AG63" s="153"/>
      <c r="AH63" s="142"/>
      <c r="AI63" s="153"/>
      <c r="AJ63" s="142"/>
      <c r="AK63" s="143"/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5.75" customHeight="1">
      <c r="A64" s="73" t="s">
        <v>51</v>
      </c>
      <c r="B64" s="39"/>
      <c r="C64" s="39"/>
      <c r="D64" s="38"/>
      <c r="E64" s="32"/>
      <c r="F64" s="32"/>
      <c r="G64" s="32"/>
      <c r="H64" s="31"/>
      <c r="I64" s="47"/>
      <c r="J64" s="48"/>
      <c r="K64" s="34" t="s">
        <v>34</v>
      </c>
      <c r="L64" s="2"/>
      <c r="M64" s="31"/>
      <c r="N64" s="2"/>
      <c r="O64" s="2"/>
      <c r="P64" s="2"/>
      <c r="Q64" s="2"/>
      <c r="R64" s="2"/>
      <c r="S64" s="2"/>
      <c r="T64" s="2"/>
      <c r="U64" s="56"/>
      <c r="V64" s="56"/>
      <c r="W64" s="109"/>
      <c r="X64" s="117"/>
      <c r="Y64" s="109"/>
      <c r="Z64" s="144"/>
      <c r="AA64" s="146"/>
      <c r="AB64" s="144"/>
      <c r="AC64" s="146"/>
      <c r="AD64" s="144"/>
      <c r="AE64" s="146"/>
      <c r="AF64" s="144"/>
      <c r="AG64" s="146"/>
      <c r="AH64" s="144"/>
      <c r="AI64" s="146"/>
      <c r="AJ64" s="144"/>
      <c r="AK64" s="145"/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79"/>
      <c r="B65" s="80" t="s">
        <v>7</v>
      </c>
      <c r="C65" s="39"/>
      <c r="D65" s="50"/>
      <c r="E65" s="19" t="s">
        <v>10</v>
      </c>
      <c r="F65" s="2" t="s">
        <v>28</v>
      </c>
      <c r="G65" s="2"/>
      <c r="H65" s="16" t="s">
        <v>12</v>
      </c>
      <c r="I65" s="19" t="s">
        <v>13</v>
      </c>
      <c r="J65" s="16" t="s">
        <v>14</v>
      </c>
      <c r="K65" s="37" t="s">
        <v>7</v>
      </c>
      <c r="L65" s="19" t="s">
        <v>15</v>
      </c>
      <c r="M65" s="16" t="s">
        <v>14</v>
      </c>
      <c r="N65" s="2"/>
      <c r="O65" s="2"/>
      <c r="P65" s="2"/>
      <c r="Q65" s="2"/>
      <c r="R65" s="2"/>
      <c r="S65" s="2"/>
      <c r="T65" s="2"/>
      <c r="U65" s="56"/>
      <c r="V65" s="56"/>
      <c r="W65" s="111"/>
      <c r="X65" s="117"/>
      <c r="Y65" s="109"/>
      <c r="Z65" s="144"/>
      <c r="AA65" s="146"/>
      <c r="AB65" s="144"/>
      <c r="AC65" s="146"/>
      <c r="AD65" s="144"/>
      <c r="AE65" s="146"/>
      <c r="AF65" s="144"/>
      <c r="AG65" s="146"/>
      <c r="AH65" s="144"/>
      <c r="AI65" s="146"/>
      <c r="AJ65" s="144"/>
      <c r="AK65" s="145"/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4" customHeight="1">
      <c r="A66" s="39" t="s">
        <v>30</v>
      </c>
      <c r="B66" s="80" t="s">
        <v>35</v>
      </c>
      <c r="C66" s="39"/>
      <c r="D66" s="38"/>
      <c r="E66" s="19" t="s">
        <v>18</v>
      </c>
      <c r="F66" s="2" t="s">
        <v>31</v>
      </c>
      <c r="G66" s="2"/>
      <c r="H66" s="16" t="s">
        <v>18</v>
      </c>
      <c r="I66" s="19" t="s">
        <v>35</v>
      </c>
      <c r="J66" s="16" t="s">
        <v>35</v>
      </c>
      <c r="K66" s="37" t="s">
        <v>35</v>
      </c>
      <c r="L66" s="19" t="s">
        <v>19</v>
      </c>
      <c r="M66" s="16" t="s">
        <v>35</v>
      </c>
      <c r="N66" s="2"/>
      <c r="O66" s="2"/>
      <c r="P66" s="2"/>
      <c r="Q66" s="2"/>
      <c r="R66" s="2"/>
      <c r="S66" s="2"/>
      <c r="T66" s="2"/>
      <c r="U66" s="56"/>
      <c r="V66" s="56"/>
      <c r="W66" s="109"/>
      <c r="X66" s="117"/>
      <c r="Y66" s="109"/>
      <c r="Z66" s="144"/>
      <c r="AA66" s="146"/>
      <c r="AB66" s="144"/>
      <c r="AC66" s="146"/>
      <c r="AD66" s="144"/>
      <c r="AE66" s="146"/>
      <c r="AF66" s="144"/>
      <c r="AG66" s="146"/>
      <c r="AH66" s="144"/>
      <c r="AI66" s="146"/>
      <c r="AJ66" s="144"/>
      <c r="AK66" s="145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4" customHeight="1">
      <c r="A67" s="109" t="s">
        <v>131</v>
      </c>
      <c r="B67" s="103">
        <f>[1]Summ!$J1031</f>
        <v>19435.470163143094</v>
      </c>
      <c r="C67" s="39"/>
      <c r="D67" s="38"/>
      <c r="E67" s="75">
        <f>Middle!E67</f>
        <v>1</v>
      </c>
      <c r="F67" s="75">
        <f>Middle!F67</f>
        <v>1.1399999999999999</v>
      </c>
      <c r="G67" s="22"/>
      <c r="H67" s="24">
        <f>(E67*F67)</f>
        <v>1.1399999999999999</v>
      </c>
      <c r="I67" s="39">
        <f>I116*I$80</f>
        <v>22156.435985983124</v>
      </c>
      <c r="J67" s="51">
        <f>J116*I$80</f>
        <v>22156.435985983124</v>
      </c>
      <c r="K67" s="40">
        <f>B67/B$73</f>
        <v>5.5954807949343668E-2</v>
      </c>
      <c r="L67" s="22">
        <f>(L116*G$39*F$9/F$7)/B$122</f>
        <v>6.3788481062251767E-2</v>
      </c>
      <c r="M67" s="24">
        <f>J67/B$73</f>
        <v>6.3788481062251767E-2</v>
      </c>
      <c r="N67" s="2"/>
      <c r="O67" s="2"/>
      <c r="P67" s="2"/>
      <c r="Q67" s="2"/>
      <c r="R67" s="2"/>
      <c r="S67" s="2"/>
      <c r="T67" s="2"/>
      <c r="U67" s="56"/>
      <c r="V67" s="56"/>
      <c r="W67" s="109"/>
      <c r="X67" s="117"/>
      <c r="Y67" s="109"/>
      <c r="Z67" s="155">
        <f>Poor!Z67</f>
        <v>0.25</v>
      </c>
      <c r="AA67" s="146">
        <f>$J67*Z67</f>
        <v>5539.108996495781</v>
      </c>
      <c r="AB67" s="155">
        <f>Poor!AB67</f>
        <v>0.25</v>
      </c>
      <c r="AC67" s="146">
        <f>$J67*AB67</f>
        <v>5539.108996495781</v>
      </c>
      <c r="AD67" s="155">
        <f>Poor!AD67</f>
        <v>0.25</v>
      </c>
      <c r="AE67" s="146">
        <f>$J67*AD67</f>
        <v>5539.108996495781</v>
      </c>
      <c r="AF67" s="155">
        <f>Poor!AF67</f>
        <v>0.25</v>
      </c>
      <c r="AG67" s="146">
        <f>$J67*AF67</f>
        <v>5539.108996495781</v>
      </c>
      <c r="AH67" s="154">
        <f>SUM(Z67,AB67,AD67,AF67)</f>
        <v>1</v>
      </c>
      <c r="AI67" s="146">
        <f>SUM(AA67,AC67,AE67,AG67)</f>
        <v>22156.435985983124</v>
      </c>
      <c r="AJ67" s="147">
        <f>(AA67+AC67)</f>
        <v>11078.217992991562</v>
      </c>
      <c r="AK67" s="146">
        <f>(AE67+AG67)</f>
        <v>11078.217992991562</v>
      </c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109" t="s">
        <v>132</v>
      </c>
      <c r="B68" s="103">
        <f>[1]Summ!$J1032</f>
        <v>12884</v>
      </c>
      <c r="C68" s="39"/>
      <c r="D68" s="38"/>
      <c r="E68" s="75">
        <f>Middle!E68</f>
        <v>1</v>
      </c>
      <c r="F68" s="75">
        <f>Middle!F68</f>
        <v>1.1100000000000001</v>
      </c>
      <c r="G68" s="22"/>
      <c r="H68" s="24">
        <f t="shared" ref="H68:H70" si="50">(E68*F68)</f>
        <v>1.1100000000000001</v>
      </c>
      <c r="I68" s="39">
        <f t="shared" ref="I68:I69" si="51">I117*I$80</f>
        <v>356714.17272727273</v>
      </c>
      <c r="J68" s="51">
        <f t="shared" ref="J68:J69" si="52">J117*I$80</f>
        <v>0</v>
      </c>
      <c r="K68" s="40">
        <f t="shared" ref="K68:K69" si="53">B68/B$73</f>
        <v>3.7093095230928887E-2</v>
      </c>
      <c r="L68" s="22">
        <f t="shared" ref="L68:L69" si="54">(L117*G$39*F$9/F$7)/B$122</f>
        <v>0</v>
      </c>
      <c r="M68" s="24">
        <f t="shared" ref="M68:M69" si="55">J68/B$73</f>
        <v>0</v>
      </c>
      <c r="N68" s="2"/>
      <c r="O68" s="2"/>
      <c r="P68" s="2"/>
      <c r="Q68" s="2"/>
      <c r="R68" s="2"/>
      <c r="S68" s="2"/>
      <c r="T68" s="2"/>
      <c r="U68" s="56"/>
      <c r="V68" s="56"/>
      <c r="W68" s="109"/>
      <c r="X68" s="117"/>
      <c r="Y68" s="109"/>
      <c r="Z68" s="155"/>
      <c r="AA68" s="146"/>
      <c r="AB68" s="155"/>
      <c r="AC68" s="146"/>
      <c r="AD68" s="155"/>
      <c r="AE68" s="146"/>
      <c r="AF68" s="155"/>
      <c r="AG68" s="146"/>
      <c r="AH68" s="154"/>
      <c r="AI68" s="146"/>
      <c r="AJ68" s="147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109" t="s">
        <v>133</v>
      </c>
      <c r="B69" s="103">
        <f>[1]Summ!$J1033</f>
        <v>20808</v>
      </c>
      <c r="C69" s="39"/>
      <c r="D69" s="38"/>
      <c r="E69" s="75">
        <f>Middle!E69</f>
        <v>1</v>
      </c>
      <c r="F69" s="75">
        <f>Middle!F69</f>
        <v>1.1100000000000001</v>
      </c>
      <c r="G69" s="22"/>
      <c r="H69" s="24">
        <f t="shared" si="50"/>
        <v>1.1100000000000001</v>
      </c>
      <c r="I69" s="39">
        <f t="shared" si="51"/>
        <v>0</v>
      </c>
      <c r="J69" s="51">
        <f t="shared" si="52"/>
        <v>0</v>
      </c>
      <c r="K69" s="40">
        <f t="shared" si="53"/>
        <v>5.9906327659513217E-2</v>
      </c>
      <c r="L69" s="22">
        <f t="shared" si="54"/>
        <v>0</v>
      </c>
      <c r="M69" s="24">
        <f t="shared" si="55"/>
        <v>0</v>
      </c>
      <c r="N69" s="2"/>
      <c r="O69" s="2"/>
      <c r="P69" s="2"/>
      <c r="Q69" s="2"/>
      <c r="R69" s="2"/>
      <c r="S69" s="2"/>
      <c r="T69" s="2"/>
      <c r="U69" s="56"/>
      <c r="V69" s="56"/>
      <c r="W69" s="109"/>
      <c r="X69" s="117"/>
      <c r="Y69" s="109"/>
      <c r="Z69" s="155"/>
      <c r="AA69" s="146"/>
      <c r="AB69" s="155"/>
      <c r="AC69" s="146"/>
      <c r="AD69" s="155"/>
      <c r="AE69" s="146"/>
      <c r="AF69" s="155"/>
      <c r="AG69" s="146"/>
      <c r="AH69" s="154"/>
      <c r="AI69" s="146"/>
      <c r="AJ69" s="147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3.5" customHeight="1">
      <c r="A70" s="109" t="s">
        <v>134</v>
      </c>
      <c r="B70" s="103">
        <f>[1]Summ!$J1034</f>
        <v>77750</v>
      </c>
      <c r="C70" s="39"/>
      <c r="D70" s="38"/>
      <c r="E70" s="75">
        <f>Middle!E70</f>
        <v>1</v>
      </c>
      <c r="F70" s="75">
        <f>Middle!F70</f>
        <v>1.1100000000000001</v>
      </c>
      <c r="G70" s="22"/>
      <c r="H70" s="24">
        <f t="shared" si="50"/>
        <v>1.1100000000000001</v>
      </c>
      <c r="I70" s="39">
        <f>I119*I$80</f>
        <v>86302.500000000015</v>
      </c>
      <c r="J70" s="51">
        <f>J119*I$80</f>
        <v>86302.500000000015</v>
      </c>
      <c r="K70" s="40">
        <f>B70/B$73</f>
        <v>0.22384260743594545</v>
      </c>
      <c r="L70" s="22">
        <f>(L119*G$39*F$9/F$7)/B$122</f>
        <v>0.23676751537150229</v>
      </c>
      <c r="M70" s="24">
        <f>J70/B$73</f>
        <v>0.24846529425389946</v>
      </c>
      <c r="O70" s="2"/>
      <c r="P70" s="2"/>
      <c r="Q70" s="2"/>
      <c r="R70" s="2"/>
      <c r="S70" s="2"/>
      <c r="T70" s="2"/>
      <c r="U70" s="56"/>
      <c r="V70" s="56"/>
      <c r="W70" s="109"/>
      <c r="X70" s="117"/>
      <c r="Y70" s="109"/>
      <c r="Z70" s="155">
        <f>Poor!Z70</f>
        <v>0.09</v>
      </c>
      <c r="AA70" s="146">
        <f>$H$70*$B$70*Z70</f>
        <v>7767.2250000000013</v>
      </c>
      <c r="AB70" s="155">
        <f>Poor!AB70</f>
        <v>0.09</v>
      </c>
      <c r="AC70" s="146">
        <f>$H$70*$B$70*AB70</f>
        <v>7767.2250000000013</v>
      </c>
      <c r="AD70" s="155">
        <f>Poor!AD70</f>
        <v>0.23</v>
      </c>
      <c r="AE70" s="146">
        <f>$H$70*$B$70*AD70</f>
        <v>19849.575000000004</v>
      </c>
      <c r="AF70" s="155">
        <f>Poor!AF70</f>
        <v>0.59</v>
      </c>
      <c r="AG70" s="146">
        <f>$H$70*$B$70*AF70</f>
        <v>50918.475000000006</v>
      </c>
      <c r="AH70" s="154">
        <f>SUM(Z70,AB70,AD70,AF70)</f>
        <v>1</v>
      </c>
      <c r="AI70" s="146">
        <f>SUM(AA70,AC70,AE70,AG70)</f>
        <v>86302.500000000015</v>
      </c>
      <c r="AJ70" s="147">
        <f>(AA70+AC70)</f>
        <v>15534.450000000003</v>
      </c>
      <c r="AK70" s="146">
        <f>(AE70+AG70)</f>
        <v>70768.050000000017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" t="s">
        <v>135</v>
      </c>
      <c r="B71" s="81">
        <f>B120*B80</f>
        <v>3840.0000000000009</v>
      </c>
      <c r="C71" s="39"/>
      <c r="D71" s="38"/>
      <c r="E71" s="32"/>
      <c r="F71" s="32"/>
      <c r="G71" s="32"/>
      <c r="H71" s="31"/>
      <c r="I71" s="39">
        <f>I120*I$80</f>
        <v>334557.73674128961</v>
      </c>
      <c r="J71" s="51">
        <f>J120*I$80</f>
        <v>4281.5110705038187</v>
      </c>
      <c r="K71" s="40">
        <f>B71/B$73</f>
        <v>1.1055377653428048E-2</v>
      </c>
      <c r="L71" s="22">
        <f>(L120*G$39*F$9/F$7)/B$122</f>
        <v>1.1693726804200244E-2</v>
      </c>
      <c r="M71" s="24">
        <f>J71/B$73</f>
        <v>1.2326490055143934E-2</v>
      </c>
      <c r="O71" s="2"/>
      <c r="P71" s="2"/>
      <c r="Q71" s="2"/>
      <c r="R71" s="2"/>
      <c r="S71" s="2"/>
      <c r="T71" s="2"/>
      <c r="U71" s="56"/>
      <c r="V71" s="56"/>
      <c r="W71" s="109"/>
      <c r="X71" s="117"/>
      <c r="Y71" s="109"/>
      <c r="Z71" s="155"/>
      <c r="AA71" s="146">
        <f>AA32*$I$80/4</f>
        <v>-754.5924135720785</v>
      </c>
      <c r="AB71" s="155"/>
      <c r="AC71" s="146">
        <f>AC32*$I$80/4</f>
        <v>-821.01418263279811</v>
      </c>
      <c r="AD71" s="155"/>
      <c r="AE71" s="146">
        <f>AE32*$I$80/4</f>
        <v>-974.97496026387898</v>
      </c>
      <c r="AF71" s="155"/>
      <c r="AG71" s="146">
        <f>AG32*$I$80/4</f>
        <v>2521.8333316445051</v>
      </c>
      <c r="AH71" s="154"/>
      <c r="AI71" s="146">
        <f>SUM(AA71,AC71,AE71,AG71)</f>
        <v>-28.748224824250428</v>
      </c>
      <c r="AJ71" s="147">
        <f>(AA71+AC71)</f>
        <v>-1575.6065962048765</v>
      </c>
      <c r="AK71" s="146">
        <f>(AE71+AG71)</f>
        <v>1546.8583713806261</v>
      </c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" t="s">
        <v>55</v>
      </c>
      <c r="B72" s="81">
        <f>B121*B80</f>
        <v>246316.80256412967</v>
      </c>
      <c r="C72" s="39"/>
      <c r="D72" s="38"/>
      <c r="E72" s="32"/>
      <c r="F72" s="32"/>
      <c r="G72" s="32"/>
      <c r="H72" s="31"/>
      <c r="I72" s="47"/>
      <c r="J72" s="51">
        <f>J121*I$80</f>
        <v>256257.82838303319</v>
      </c>
      <c r="K72" s="40">
        <f>B72/B$73</f>
        <v>0.70914720696128297</v>
      </c>
      <c r="L72" s="22">
        <f>(L121*G$39*F$9/F$7)/B$122</f>
        <v>0.75009411366381828</v>
      </c>
      <c r="M72" s="24">
        <f>J72/B$73</f>
        <v>0.73776746599525622</v>
      </c>
      <c r="O72" s="2"/>
      <c r="P72" s="2"/>
      <c r="Q72" s="2"/>
      <c r="R72" s="2"/>
      <c r="S72" s="2"/>
      <c r="T72" s="2"/>
      <c r="U72" s="56"/>
      <c r="V72" s="56"/>
      <c r="W72" s="109"/>
      <c r="X72" s="156"/>
      <c r="Y72" s="160" t="s">
        <v>104</v>
      </c>
      <c r="Z72" s="157"/>
      <c r="AA72" s="148">
        <f>AA76-AA71</f>
        <v>79753.562093636501</v>
      </c>
      <c r="AB72" s="157"/>
      <c r="AC72" s="148">
        <f>AA72+AC62-SUM(AC67,AC71)</f>
        <v>158895.47128747666</v>
      </c>
      <c r="AD72" s="157"/>
      <c r="AE72" s="148">
        <f>AC72+AE62-SUM(AE67,AE71)</f>
        <v>239547.49059666198</v>
      </c>
      <c r="AF72" s="157"/>
      <c r="AG72" s="148">
        <f>IF(SUM(AG6:AG31)+((AG62-AG67-$J$72)*4/I$80)&lt;1,0,AG62-AG67-$J$72-(1-SUM(AG6:AG31))*I$80/4)</f>
        <v>0</v>
      </c>
      <c r="AH72" s="133"/>
      <c r="AI72" s="148">
        <f>AI73-SUM(AI67,AI71)</f>
        <v>346870.58767836128</v>
      </c>
      <c r="AJ72" s="150">
        <f>AJ73-SUM(AJ67,AJ71)</f>
        <v>158895.47128747666</v>
      </c>
      <c r="AK72" s="148">
        <f>AJ72+AK73-SUM(AK67,AK71)</f>
        <v>346870.58767836122</v>
      </c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4" customHeight="1" thickBot="1">
      <c r="A73" s="1" t="s">
        <v>32</v>
      </c>
      <c r="B73" s="81">
        <f>B62</f>
        <v>347342.27272727271</v>
      </c>
      <c r="C73" s="39"/>
      <c r="D73" s="38"/>
      <c r="E73" s="32"/>
      <c r="F73" s="32"/>
      <c r="G73" s="32"/>
      <c r="H73" s="31"/>
      <c r="I73" s="39">
        <f>I122*I$80</f>
        <v>356714.17272727273</v>
      </c>
      <c r="J73" s="51">
        <f>J122*I$80</f>
        <v>368998.27543952013</v>
      </c>
      <c r="K73" s="40">
        <f>SUM(K67:K72)</f>
        <v>1.0969994228904423</v>
      </c>
      <c r="L73" s="22">
        <f>SUM(L67:L72)</f>
        <v>1.0623438369017726</v>
      </c>
      <c r="M73" s="24">
        <f>SUM(M67:M72)</f>
        <v>1.0623477313665513</v>
      </c>
      <c r="O73" s="2"/>
      <c r="P73" s="2"/>
      <c r="Q73" s="2"/>
      <c r="R73" s="2"/>
      <c r="S73" s="2"/>
      <c r="T73" s="2"/>
      <c r="U73" s="56"/>
      <c r="V73" s="56"/>
      <c r="W73" s="109"/>
      <c r="X73" s="189"/>
      <c r="Y73" s="189"/>
      <c r="Z73" s="136"/>
      <c r="AA73" s="153">
        <f>AA62</f>
        <v>84538.078676560195</v>
      </c>
      <c r="AB73" s="136"/>
      <c r="AC73" s="152">
        <f>AC62</f>
        <v>83860.004007703159</v>
      </c>
      <c r="AD73" s="136"/>
      <c r="AE73" s="152">
        <f>AE62</f>
        <v>85216.153345417217</v>
      </c>
      <c r="AF73" s="136"/>
      <c r="AG73" s="152">
        <f>AG62</f>
        <v>115384.03940983953</v>
      </c>
      <c r="AH73" s="136"/>
      <c r="AI73" s="152">
        <f>SUM(AA73,AC73,AE73,AG73)</f>
        <v>368998.27543952013</v>
      </c>
      <c r="AJ73" s="153">
        <f>SUM(AA73,AC73)</f>
        <v>168398.08268426335</v>
      </c>
      <c r="AK73" s="153">
        <f>SUM(AE73,AG73)</f>
        <v>200600.19275525675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 thickBot="1">
      <c r="A74" s="98" t="s">
        <v>36</v>
      </c>
      <c r="B74" s="81"/>
      <c r="C74" s="39"/>
      <c r="D74" s="38"/>
      <c r="E74" s="32"/>
      <c r="F74" s="32"/>
      <c r="G74" s="32"/>
      <c r="H74" s="31"/>
      <c r="I74" s="39">
        <f>I123*I$80</f>
        <v>86302.500000000015</v>
      </c>
      <c r="J74" s="99">
        <f>J123*I$80</f>
        <v>0</v>
      </c>
      <c r="K74" s="40"/>
      <c r="L74" s="22">
        <f>-(L123*G$39*F$9/F$7)/B$122</f>
        <v>-1.1697778882397177E-2</v>
      </c>
      <c r="M74" s="24">
        <f>-J74/B$73</f>
        <v>0</v>
      </c>
      <c r="O74" s="2"/>
      <c r="P74" s="2"/>
      <c r="Q74" s="2"/>
      <c r="R74" s="2"/>
      <c r="S74" s="2"/>
      <c r="T74" s="2"/>
      <c r="U74" s="56"/>
      <c r="V74" s="56"/>
      <c r="W74" s="109"/>
      <c r="X74" s="109"/>
      <c r="Y74" s="160" t="s">
        <v>102</v>
      </c>
      <c r="Z74" s="158"/>
      <c r="AA74" s="110">
        <f>AA33*$I$80/4</f>
        <v>0</v>
      </c>
      <c r="AB74" s="111"/>
      <c r="AC74" s="110">
        <f>AC33*$I$80/4</f>
        <v>0</v>
      </c>
      <c r="AD74" s="111"/>
      <c r="AE74" s="110">
        <f>AE33*$I$80/4</f>
        <v>0</v>
      </c>
      <c r="AF74" s="111"/>
      <c r="AG74" s="110">
        <f>AG33*$I$80/4</f>
        <v>0</v>
      </c>
      <c r="AH74" s="109"/>
      <c r="AI74" s="153">
        <f>SUM(AA74,AC74,AE74,AG74)</f>
        <v>0</v>
      </c>
      <c r="AJ74" s="152">
        <f>SUM(AA74,AC74)</f>
        <v>0</v>
      </c>
      <c r="AK74" s="159">
        <f>SUM(AE74,AG74)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82" t="s">
        <v>37</v>
      </c>
      <c r="B75" s="39"/>
      <c r="C75" s="39"/>
      <c r="D75" s="38"/>
      <c r="E75" s="32"/>
      <c r="F75" s="32"/>
      <c r="G75" s="32"/>
      <c r="H75" s="31"/>
      <c r="I75" s="47"/>
      <c r="J75" s="48"/>
      <c r="K75" s="32"/>
      <c r="L75" s="32"/>
      <c r="M75" s="48"/>
      <c r="N75" s="2"/>
      <c r="O75" s="2"/>
      <c r="P75" s="2"/>
      <c r="Q75" s="2"/>
      <c r="R75" s="2"/>
      <c r="S75" s="2"/>
      <c r="T75" s="2"/>
      <c r="U75" s="56"/>
      <c r="V75" s="56"/>
      <c r="W75" s="109"/>
      <c r="X75" s="109"/>
      <c r="Y75" s="160" t="s">
        <v>103</v>
      </c>
      <c r="Z75" s="109"/>
      <c r="AA75" s="111">
        <f>IF(SUM(AG6:AG31)+((AG62-AG67-$J$72)*4/I$80)&lt;1,0,AG62-AG67-$J$72-(1-SUM(AG6:AG31))*I$80/4)</f>
        <v>0</v>
      </c>
      <c r="AB75" s="111"/>
      <c r="AC75" s="111">
        <f>IF(AA72&lt;0,0,AA72)</f>
        <v>79753.562093636501</v>
      </c>
      <c r="AD75" s="111"/>
      <c r="AE75" s="111">
        <f>AC72</f>
        <v>158895.47128747666</v>
      </c>
      <c r="AF75" s="111"/>
      <c r="AG75" s="111">
        <f>AE72</f>
        <v>239547.49059666198</v>
      </c>
      <c r="AH75" s="109"/>
      <c r="AI75" s="145"/>
      <c r="AJ75" s="109"/>
      <c r="AK75" s="145"/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>
      <c r="A76" s="39" t="s">
        <v>38</v>
      </c>
      <c r="B76" s="104" t="str">
        <f>[1]Summ!$J1037</f>
        <v>maize</v>
      </c>
      <c r="C76" s="39"/>
      <c r="D76" s="38"/>
      <c r="E76" s="32"/>
      <c r="F76" s="32"/>
      <c r="G76" s="32"/>
      <c r="H76" s="31"/>
      <c r="I76" s="47"/>
      <c r="J76" s="48"/>
      <c r="K76" s="32"/>
      <c r="L76" s="32"/>
      <c r="M76" s="48"/>
      <c r="N76" s="32"/>
      <c r="O76" s="2"/>
      <c r="P76" s="2"/>
      <c r="Q76" s="2"/>
      <c r="R76" s="2"/>
      <c r="S76" s="2"/>
      <c r="T76" s="2"/>
      <c r="U76" s="56"/>
      <c r="V76" s="56"/>
      <c r="W76" s="109"/>
      <c r="X76" s="109"/>
      <c r="Y76" s="160" t="s">
        <v>63</v>
      </c>
      <c r="Z76" s="109"/>
      <c r="AA76" s="111">
        <f>AA62-AA67+IF(SUM(AG6:AG31)+((AG62-AG67-$J$72)*4/I$80)&lt;1,0,AG62-AG67-$J$72-(1-SUM(AG6:AG31))*I$80/4)</f>
        <v>78998.969680064416</v>
      </c>
      <c r="AB76" s="111"/>
      <c r="AC76" s="111">
        <f>AA76-AA71+AC62-AC67</f>
        <v>158074.45710484387</v>
      </c>
      <c r="AD76" s="111"/>
      <c r="AE76" s="111">
        <f>AC76-AC71+AE62-AE67</f>
        <v>238572.51563639811</v>
      </c>
      <c r="AF76" s="111"/>
      <c r="AG76" s="111">
        <f>AE76-AE71+AG62-AG67</f>
        <v>349392.42101000575</v>
      </c>
      <c r="AH76" s="109"/>
      <c r="AI76" s="145"/>
      <c r="AJ76" s="109"/>
      <c r="AK76" s="145"/>
      <c r="AS76" s="25"/>
      <c r="AT76" s="25"/>
      <c r="AU76" s="25"/>
      <c r="AV76" s="25"/>
      <c r="AW76" s="25"/>
      <c r="AX76" s="25"/>
      <c r="AZ76" s="25"/>
      <c r="BA76" s="25"/>
      <c r="BB76" s="25"/>
      <c r="BC76" s="25"/>
      <c r="BD76" s="25"/>
      <c r="BE76" s="25"/>
      <c r="BI76" s="25"/>
      <c r="BJ76" s="25"/>
      <c r="BK76" s="25"/>
      <c r="BL76" s="25"/>
      <c r="BM76" s="25"/>
      <c r="BN76" s="25"/>
      <c r="BP76" s="25"/>
      <c r="BQ76" s="25"/>
      <c r="BR76" s="25"/>
      <c r="BS76" s="25"/>
      <c r="BT76" s="25"/>
      <c r="BU76" s="25"/>
      <c r="BX76" s="25"/>
      <c r="BY76" s="25"/>
      <c r="BZ76" s="25"/>
      <c r="CA76" s="25"/>
      <c r="CB76" s="25"/>
      <c r="CC76" s="25"/>
      <c r="CE76" s="25"/>
      <c r="CF76" s="25"/>
      <c r="CG76" s="25"/>
      <c r="CH76" s="25"/>
      <c r="CI76" s="25"/>
      <c r="CJ76" s="25"/>
    </row>
    <row r="77" spans="1:88" ht="14" customHeight="1">
      <c r="A77" s="39" t="s">
        <v>39</v>
      </c>
      <c r="B77" s="104">
        <f>[1]Summ!$J1038</f>
        <v>0.58061985920496251</v>
      </c>
      <c r="C77" s="39"/>
      <c r="D77" s="38"/>
      <c r="E77" s="32"/>
      <c r="F77" s="32"/>
      <c r="G77" s="32"/>
      <c r="H77" s="31"/>
      <c r="I77" s="47"/>
      <c r="J77" s="48"/>
      <c r="K77" s="32"/>
      <c r="L77" s="32"/>
      <c r="M77" s="48"/>
      <c r="N77" s="32"/>
      <c r="O77" s="2"/>
      <c r="P77" s="2"/>
      <c r="Q77" s="2"/>
      <c r="R77" s="2"/>
      <c r="S77" s="2"/>
      <c r="T77" s="2"/>
      <c r="U77" s="56"/>
      <c r="V77" s="56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45"/>
      <c r="AJ77" s="109"/>
      <c r="AK77" s="145"/>
      <c r="AS77" s="25"/>
      <c r="AT77" s="25"/>
      <c r="AU77" s="25"/>
      <c r="AV77" s="25"/>
      <c r="AW77" s="25"/>
      <c r="AX77" s="25"/>
      <c r="AZ77" s="25"/>
      <c r="BA77" s="25"/>
      <c r="BB77" s="25"/>
      <c r="BC77" s="25"/>
      <c r="BD77" s="25"/>
      <c r="BE77" s="25"/>
      <c r="BI77" s="25"/>
      <c r="BJ77" s="25"/>
      <c r="BK77" s="25"/>
      <c r="BL77" s="25"/>
      <c r="BM77" s="25"/>
      <c r="BN77" s="25"/>
      <c r="BP77" s="25"/>
      <c r="BQ77" s="25"/>
      <c r="BR77" s="25"/>
      <c r="BS77" s="25"/>
      <c r="BT77" s="25"/>
      <c r="BU77" s="25"/>
      <c r="BX77" s="25"/>
      <c r="BY77" s="25"/>
      <c r="BZ77" s="25"/>
      <c r="CA77" s="25"/>
      <c r="CB77" s="25"/>
      <c r="CC77" s="25"/>
      <c r="CE77" s="25"/>
      <c r="CF77" s="25"/>
      <c r="CG77" s="25"/>
      <c r="CH77" s="25"/>
      <c r="CI77" s="25"/>
      <c r="CJ77" s="25"/>
    </row>
    <row r="78" spans="1:88" ht="14" customHeight="1">
      <c r="A78" s="39" t="s">
        <v>40</v>
      </c>
      <c r="B78" s="104">
        <f>[1]Summ!$J1039</f>
        <v>6</v>
      </c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32"/>
      <c r="O78" s="2"/>
      <c r="P78" s="2"/>
      <c r="Q78" s="2"/>
      <c r="R78" s="2"/>
      <c r="S78" s="2"/>
      <c r="T78" s="2"/>
      <c r="U78" s="56"/>
      <c r="V78" s="56"/>
      <c r="W78" s="109"/>
      <c r="X78" s="109"/>
      <c r="Y78" s="109"/>
      <c r="Z78" s="142" t="s">
        <v>64</v>
      </c>
      <c r="AA78" s="158"/>
      <c r="AB78" s="158"/>
      <c r="AC78" s="158"/>
      <c r="AD78" s="158"/>
      <c r="AE78" s="158"/>
      <c r="AF78" s="158"/>
      <c r="AG78" s="143"/>
      <c r="AH78" s="113" t="s">
        <v>65</v>
      </c>
      <c r="AI78" s="145"/>
      <c r="AJ78" s="109"/>
      <c r="AK78" s="145"/>
      <c r="AS78" s="25"/>
      <c r="AT78" s="25"/>
      <c r="AU78" s="25"/>
      <c r="AV78" s="25"/>
      <c r="AW78" s="25"/>
      <c r="AX78" s="25"/>
      <c r="AZ78" s="25"/>
      <c r="BA78" s="25"/>
      <c r="BB78" s="25"/>
      <c r="BC78" s="25"/>
      <c r="BD78" s="25"/>
      <c r="BE78" s="25"/>
      <c r="BI78" s="25"/>
      <c r="BJ78" s="25"/>
      <c r="BK78" s="25"/>
      <c r="BL78" s="25"/>
      <c r="BM78" s="25"/>
      <c r="BN78" s="25"/>
      <c r="BP78" s="25"/>
      <c r="BQ78" s="25"/>
      <c r="BR78" s="25"/>
      <c r="BS78" s="25"/>
      <c r="BT78" s="25"/>
      <c r="BU78" s="25"/>
      <c r="BX78" s="25"/>
      <c r="BY78" s="25"/>
      <c r="BZ78" s="25"/>
      <c r="CA78" s="25"/>
      <c r="CB78" s="25"/>
      <c r="CC78" s="25"/>
      <c r="CE78" s="25"/>
      <c r="CF78" s="25"/>
      <c r="CG78" s="25"/>
      <c r="CH78" s="25"/>
      <c r="CI78" s="25"/>
      <c r="CJ78" s="25"/>
    </row>
    <row r="79" spans="1:88" ht="14" customHeight="1">
      <c r="A79" s="39" t="s">
        <v>41</v>
      </c>
      <c r="B79" s="104">
        <f>[1]Summ!$J1040</f>
        <v>4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X79" s="109"/>
      <c r="Y79" s="160" t="s">
        <v>66</v>
      </c>
      <c r="Z79" s="161">
        <f>IF($AH$79=0,0,AA79/$AH$79)</f>
        <v>1</v>
      </c>
      <c r="AA79" s="193">
        <f>Poor!AA79</f>
        <v>4.4800000000000004</v>
      </c>
      <c r="AB79" s="161">
        <f>IF($AH$79=0,0,AC79/$AH$79)</f>
        <v>1</v>
      </c>
      <c r="AC79" s="193">
        <f>Poor!AC79</f>
        <v>4.4800000000000004</v>
      </c>
      <c r="AD79" s="161">
        <f>IF($AH$79=0,0,AE79/$AH$79)</f>
        <v>1</v>
      </c>
      <c r="AE79" s="193">
        <f>Poor!AE79</f>
        <v>4.4800000000000004</v>
      </c>
      <c r="AF79" s="161">
        <f>IF($AH$79=0,0,AG79/$AH$79)</f>
        <v>1</v>
      </c>
      <c r="AG79" s="193">
        <f>Poor!AG79</f>
        <v>4.4800000000000004</v>
      </c>
      <c r="AH79" s="163">
        <f>IF(PRODUCT(AA79,AC79,AE79,AG79)=0,0,SUM(AA79,AC79,AE79,AG79)/4)</f>
        <v>4.4800000000000004</v>
      </c>
      <c r="AI79" s="145"/>
      <c r="AJ79" s="109"/>
      <c r="AK79" s="145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42</v>
      </c>
      <c r="B80" s="39">
        <f>365*B77*B78*B79</f>
        <v>5086.229966635472</v>
      </c>
      <c r="C80" s="39"/>
      <c r="D80" s="38"/>
      <c r="E80" s="32"/>
      <c r="F80" s="32"/>
      <c r="G80" s="32"/>
      <c r="H80" s="24">
        <f>G$39*F$9/F$7</f>
        <v>1.1200000000000001</v>
      </c>
      <c r="I80" s="39">
        <f xml:space="preserve"> B80*H80</f>
        <v>5696.5775626317291</v>
      </c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X80" s="109"/>
      <c r="Y80" s="160" t="s">
        <v>130</v>
      </c>
      <c r="Z80" s="109"/>
      <c r="AA80" s="164">
        <f>$I$80*Z79/4</f>
        <v>1424.1443906579323</v>
      </c>
      <c r="AB80" s="111"/>
      <c r="AC80" s="164">
        <f>$I$80*AB79/4</f>
        <v>1424.1443906579323</v>
      </c>
      <c r="AD80" s="111"/>
      <c r="AE80" s="164">
        <f>$I$80*AD79/4</f>
        <v>1424.1443906579323</v>
      </c>
      <c r="AF80" s="111"/>
      <c r="AG80" s="164">
        <f>$I$80*AF79/4</f>
        <v>1424.1443906579323</v>
      </c>
      <c r="AH80" s="164">
        <f>SUM(AA80,AC80,AE80,AG80)</f>
        <v>5696.5775626317291</v>
      </c>
      <c r="AI80" s="145"/>
      <c r="AJ80" s="109"/>
      <c r="AK80" s="145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 thickBot="1">
      <c r="A81" s="46" t="s">
        <v>140</v>
      </c>
      <c r="B81" s="238">
        <f>B67+((1-D31)*B80)</f>
        <v>22590.807793692456</v>
      </c>
      <c r="C81" s="46"/>
      <c r="D81" s="239"/>
      <c r="E81" s="64"/>
      <c r="F81" s="64"/>
      <c r="G81" s="64"/>
      <c r="H81" s="240">
        <f>IF(B81=0,0,I81/B81)</f>
        <v>1.1362492378515652</v>
      </c>
      <c r="I81" s="238">
        <f>(B67*H67)+((1-(D31*H31))*I80)</f>
        <v>25668.788138034251</v>
      </c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X81" s="109"/>
      <c r="Y81" s="160"/>
      <c r="Z81" s="109"/>
      <c r="AA81" s="109"/>
      <c r="AB81" s="109"/>
      <c r="AC81" s="109"/>
      <c r="AD81" s="109"/>
      <c r="AE81" s="109"/>
      <c r="AF81" s="109"/>
      <c r="AG81" s="109"/>
      <c r="AH81" s="109"/>
      <c r="AI81" s="145"/>
      <c r="AJ81" s="109"/>
      <c r="AK81" s="145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 thickBot="1">
      <c r="A82" s="39" t="s">
        <v>43</v>
      </c>
      <c r="B82" s="39"/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09"/>
      <c r="Y82" s="160"/>
      <c r="Z82" s="109"/>
      <c r="AA82" s="112"/>
      <c r="AB82" s="109"/>
      <c r="AC82" s="112"/>
      <c r="AD82" s="109"/>
      <c r="AE82" s="112"/>
      <c r="AF82" s="109"/>
      <c r="AG82" s="112"/>
      <c r="AH82" s="109"/>
      <c r="AI82" s="190"/>
      <c r="AJ82" s="191"/>
      <c r="AK82" s="192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105"/>
      <c r="B83" s="106"/>
      <c r="C83" s="39"/>
      <c r="D83" s="38"/>
      <c r="E83" s="32"/>
      <c r="F83" s="32"/>
      <c r="G83" s="32"/>
      <c r="H83" s="31"/>
      <c r="I83" s="47"/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>
      <c r="A84" s="39" t="s">
        <v>123</v>
      </c>
      <c r="B84" s="75">
        <f>[1]Summ!$K$892</f>
        <v>0</v>
      </c>
      <c r="C84" s="14"/>
      <c r="D84" s="12"/>
      <c r="E84" s="14"/>
      <c r="F84" s="14"/>
      <c r="G84" s="14"/>
      <c r="H84" s="12"/>
      <c r="I84" s="14"/>
      <c r="J84" s="12"/>
      <c r="K84" s="14"/>
      <c r="L84" s="14"/>
      <c r="M84" s="10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5.75" customHeight="1">
      <c r="A85" s="73" t="str">
        <f>A36</f>
        <v>Income : Better-off HHs</v>
      </c>
      <c r="B85" s="2"/>
      <c r="C85" s="2"/>
      <c r="D85" s="31"/>
      <c r="E85" s="2"/>
      <c r="F85" s="2"/>
      <c r="G85" s="2"/>
      <c r="H85" s="17"/>
      <c r="I85" s="2"/>
      <c r="J85" s="33"/>
      <c r="M85" s="57"/>
      <c r="N85" s="58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2"/>
      <c r="B86" s="19" t="s">
        <v>7</v>
      </c>
      <c r="C86" s="19" t="s">
        <v>8</v>
      </c>
      <c r="D86" s="16" t="s">
        <v>9</v>
      </c>
      <c r="H86" s="16" t="s">
        <v>12</v>
      </c>
      <c r="I86" s="19" t="s">
        <v>13</v>
      </c>
      <c r="J86" s="16" t="s">
        <v>14</v>
      </c>
      <c r="K86" s="19" t="s">
        <v>7</v>
      </c>
      <c r="L86" s="19" t="s">
        <v>15</v>
      </c>
      <c r="M86" s="57" t="str">
        <f t="shared" ref="M86:M111" si="56">(J86)</f>
        <v>Curr.</v>
      </c>
      <c r="N86" s="5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2" t="s">
        <v>44</v>
      </c>
      <c r="B87" s="19" t="s">
        <v>16</v>
      </c>
      <c r="C87" s="19" t="s">
        <v>17</v>
      </c>
      <c r="D87" s="16" t="s">
        <v>16</v>
      </c>
      <c r="H87" s="16" t="s">
        <v>18</v>
      </c>
      <c r="I87" s="19" t="s">
        <v>16</v>
      </c>
      <c r="J87" s="16" t="s">
        <v>16</v>
      </c>
      <c r="K87" s="19" t="s">
        <v>16</v>
      </c>
      <c r="L87" s="19" t="s">
        <v>19</v>
      </c>
      <c r="M87" s="57" t="str">
        <f t="shared" si="56"/>
        <v>Access</v>
      </c>
      <c r="N87" s="5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4" customHeight="1">
      <c r="A88" s="2" t="str">
        <f t="shared" ref="A88:A110" si="57">IF(A39="","",A39)</f>
        <v>Pig sales: no sold</v>
      </c>
      <c r="B88" s="75">
        <f t="shared" ref="B88:C110" si="58">(B39/$B$80)</f>
        <v>0.96338546077210452</v>
      </c>
      <c r="C88" s="75">
        <f t="shared" si="58"/>
        <v>0</v>
      </c>
      <c r="D88" s="24">
        <f t="shared" ref="D88:D110" si="59">(B88+C88)</f>
        <v>0.96338546077210452</v>
      </c>
      <c r="H88" s="24">
        <f t="shared" ref="H88:H110" si="60">(E39*F39/G39*F$7/F$9)</f>
        <v>0.9196428571428571</v>
      </c>
      <c r="I88" s="22">
        <f t="shared" ref="I88:I110" si="61">(D88*H88)</f>
        <v>0.88597055767434607</v>
      </c>
      <c r="J88" s="24">
        <f t="shared" ref="J88:J110" si="62">IF(I$34&lt;=1+I$123,I88,L88+J$35*(I88-L88))</f>
        <v>0.88597055767434607</v>
      </c>
      <c r="K88" s="22">
        <f t="shared" ref="K88:K110" si="63">(B88)</f>
        <v>0.96338546077210452</v>
      </c>
      <c r="L88" s="22">
        <f t="shared" ref="L88:L110" si="64">(K88*H88)</f>
        <v>0.88597055767434607</v>
      </c>
      <c r="M88" s="230">
        <f t="shared" si="56"/>
        <v>0.88597055767434607</v>
      </c>
      <c r="N88" s="232">
        <v>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 t="str">
        <f t="shared" si="57"/>
        <v>Cattle sales - local: no. sold</v>
      </c>
      <c r="B89" s="75">
        <f t="shared" si="58"/>
        <v>3.5389669987546695</v>
      </c>
      <c r="C89" s="75">
        <f t="shared" si="58"/>
        <v>0</v>
      </c>
      <c r="D89" s="24">
        <f t="shared" si="59"/>
        <v>3.5389669987546695</v>
      </c>
      <c r="H89" s="24">
        <f t="shared" si="60"/>
        <v>0.99107142857142871</v>
      </c>
      <c r="I89" s="22">
        <f t="shared" si="61"/>
        <v>3.5073690791229319</v>
      </c>
      <c r="J89" s="24">
        <f t="shared" si="62"/>
        <v>3.5073690791229319</v>
      </c>
      <c r="K89" s="22">
        <f t="shared" si="63"/>
        <v>3.5389669987546695</v>
      </c>
      <c r="L89" s="22">
        <f t="shared" si="64"/>
        <v>3.5073690791229319</v>
      </c>
      <c r="M89" s="230">
        <f t="shared" si="56"/>
        <v>3.5073690791229319</v>
      </c>
      <c r="N89" s="232">
        <v>5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tr">
        <f t="shared" si="57"/>
        <v>Goat sales - local: no. sold</v>
      </c>
      <c r="B90" s="75">
        <f t="shared" si="58"/>
        <v>0.44237087484433368</v>
      </c>
      <c r="C90" s="75">
        <f t="shared" si="58"/>
        <v>-0.14745695828144456</v>
      </c>
      <c r="D90" s="24">
        <f t="shared" si="59"/>
        <v>0.29491391656288912</v>
      </c>
      <c r="H90" s="24">
        <f t="shared" si="60"/>
        <v>0.9732142857142857</v>
      </c>
      <c r="I90" s="22">
        <f t="shared" si="61"/>
        <v>0.28701443665495457</v>
      </c>
      <c r="J90" s="24">
        <f t="shared" si="62"/>
        <v>0.43053745958415501</v>
      </c>
      <c r="K90" s="22">
        <f t="shared" si="63"/>
        <v>0.44237087484433368</v>
      </c>
      <c r="L90" s="22">
        <f t="shared" si="64"/>
        <v>0.43052165498243189</v>
      </c>
      <c r="M90" s="230">
        <f t="shared" si="56"/>
        <v>0.43053745958415501</v>
      </c>
      <c r="N90" s="232">
        <v>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si="57"/>
        <v>Maize: kg produced</v>
      </c>
      <c r="B91" s="75">
        <f t="shared" si="58"/>
        <v>0.58982783312577824</v>
      </c>
      <c r="C91" s="75">
        <f t="shared" si="58"/>
        <v>-0.58982783312577824</v>
      </c>
      <c r="D91" s="24">
        <f t="shared" si="59"/>
        <v>0</v>
      </c>
      <c r="H91" s="24">
        <f t="shared" si="60"/>
        <v>0.9107142857142857</v>
      </c>
      <c r="I91" s="22">
        <f t="shared" si="61"/>
        <v>0</v>
      </c>
      <c r="J91" s="24">
        <f t="shared" si="62"/>
        <v>0.53722379224875016</v>
      </c>
      <c r="K91" s="22">
        <f t="shared" si="63"/>
        <v>0.58982783312577824</v>
      </c>
      <c r="L91" s="22">
        <f t="shared" si="64"/>
        <v>0.53716463373954804</v>
      </c>
      <c r="M91" s="230">
        <f t="shared" si="56"/>
        <v>0.53722379224875016</v>
      </c>
      <c r="N91" s="232">
        <v>2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7"/>
        <v>Maize (irrigated): kg produced</v>
      </c>
      <c r="B92" s="75">
        <f t="shared" si="58"/>
        <v>5.8982783312577829E-2</v>
      </c>
      <c r="C92" s="75">
        <f t="shared" si="58"/>
        <v>-5.8982783312577829E-2</v>
      </c>
      <c r="D92" s="24">
        <f t="shared" si="59"/>
        <v>0</v>
      </c>
      <c r="H92" s="24">
        <f t="shared" si="60"/>
        <v>0.9107142857142857</v>
      </c>
      <c r="I92" s="22">
        <f t="shared" si="61"/>
        <v>0</v>
      </c>
      <c r="J92" s="24">
        <f t="shared" si="62"/>
        <v>5.3722379224875022E-2</v>
      </c>
      <c r="K92" s="22">
        <f t="shared" si="63"/>
        <v>5.8982783312577829E-2</v>
      </c>
      <c r="L92" s="22">
        <f t="shared" si="64"/>
        <v>5.3716463373954811E-2</v>
      </c>
      <c r="M92" s="230">
        <f t="shared" si="56"/>
        <v>5.3722379224875022E-2</v>
      </c>
      <c r="N92" s="232">
        <v>2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7"/>
        <v>Beans season 2: kg produced</v>
      </c>
      <c r="B93" s="75">
        <f t="shared" si="58"/>
        <v>0.47186226650062263</v>
      </c>
      <c r="C93" s="75">
        <f t="shared" si="58"/>
        <v>-0.47186226650062263</v>
      </c>
      <c r="D93" s="24">
        <f t="shared" si="59"/>
        <v>0</v>
      </c>
      <c r="H93" s="24">
        <f t="shared" si="60"/>
        <v>1.0089285714285712</v>
      </c>
      <c r="I93" s="22">
        <f t="shared" si="61"/>
        <v>0</v>
      </c>
      <c r="J93" s="24">
        <f t="shared" si="62"/>
        <v>0.47612775313026473</v>
      </c>
      <c r="K93" s="22">
        <f t="shared" si="63"/>
        <v>0.47186226650062263</v>
      </c>
      <c r="L93" s="22">
        <f t="shared" si="64"/>
        <v>0.4760753224515209</v>
      </c>
      <c r="M93" s="230">
        <f t="shared" si="56"/>
        <v>0.47612775313026473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7"/>
        <v>Other root crops (sweet potato): no. local meas</v>
      </c>
      <c r="B94" s="75">
        <f t="shared" si="58"/>
        <v>0.78643711083437107</v>
      </c>
      <c r="C94" s="75">
        <f t="shared" si="58"/>
        <v>-0.78643711083437107</v>
      </c>
      <c r="D94" s="24">
        <f t="shared" si="59"/>
        <v>0</v>
      </c>
      <c r="H94" s="24">
        <f t="shared" si="60"/>
        <v>0.89285714285714279</v>
      </c>
      <c r="I94" s="22">
        <f t="shared" si="61"/>
        <v>0</v>
      </c>
      <c r="J94" s="24">
        <f t="shared" si="62"/>
        <v>0.70225332320098055</v>
      </c>
      <c r="K94" s="22">
        <f t="shared" si="63"/>
        <v>0.78643711083437107</v>
      </c>
      <c r="L94" s="22">
        <f t="shared" si="64"/>
        <v>0.70217599181640267</v>
      </c>
      <c r="M94" s="230">
        <f t="shared" si="56"/>
        <v>0.70225332320098055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7"/>
        <v>Groundnuts (dry): no. local meas</v>
      </c>
      <c r="B95" s="75">
        <f t="shared" si="58"/>
        <v>0.23593113325031131</v>
      </c>
      <c r="C95" s="75">
        <f t="shared" si="58"/>
        <v>-0.23593113325031131</v>
      </c>
      <c r="D95" s="24">
        <f t="shared" si="59"/>
        <v>0</v>
      </c>
      <c r="H95" s="24">
        <f t="shared" si="60"/>
        <v>0.89285714285714279</v>
      </c>
      <c r="I95" s="22">
        <f t="shared" si="61"/>
        <v>0</v>
      </c>
      <c r="J95" s="24">
        <f t="shared" si="62"/>
        <v>0.21067599696029418</v>
      </c>
      <c r="K95" s="22">
        <f t="shared" si="63"/>
        <v>0.23593113325031131</v>
      </c>
      <c r="L95" s="22">
        <f t="shared" si="64"/>
        <v>0.21065279754492081</v>
      </c>
      <c r="M95" s="230">
        <f t="shared" si="56"/>
        <v>0.21067599696029418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7"/>
        <v>Other crop: Rape</v>
      </c>
      <c r="B96" s="75">
        <f t="shared" si="58"/>
        <v>3.4406623599003733E-2</v>
      </c>
      <c r="C96" s="75">
        <f t="shared" si="58"/>
        <v>-3.4406623599003733E-2</v>
      </c>
      <c r="D96" s="24">
        <f t="shared" si="59"/>
        <v>0</v>
      </c>
      <c r="H96" s="24">
        <f t="shared" si="60"/>
        <v>0.95535714285714279</v>
      </c>
      <c r="I96" s="22">
        <f t="shared" si="61"/>
        <v>0</v>
      </c>
      <c r="J96" s="24">
        <f t="shared" si="62"/>
        <v>3.2874233692345906E-2</v>
      </c>
      <c r="K96" s="22">
        <f t="shared" si="63"/>
        <v>3.4406623599003733E-2</v>
      </c>
      <c r="L96" s="22">
        <f t="shared" si="64"/>
        <v>3.2870613616905353E-2</v>
      </c>
      <c r="M96" s="230">
        <f t="shared" si="56"/>
        <v>3.2874233692345906E-2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7"/>
        <v>Other cashcrop (cabbage): kg produced</v>
      </c>
      <c r="B97" s="75">
        <f t="shared" si="58"/>
        <v>0.15728742216687422</v>
      </c>
      <c r="C97" s="75">
        <f t="shared" si="58"/>
        <v>0</v>
      </c>
      <c r="D97" s="24">
        <f t="shared" si="59"/>
        <v>0.15728742216687422</v>
      </c>
      <c r="H97" s="24">
        <f t="shared" si="60"/>
        <v>0.9642857142857143</v>
      </c>
      <c r="I97" s="22">
        <f t="shared" si="61"/>
        <v>0.151670014232343</v>
      </c>
      <c r="J97" s="24">
        <f t="shared" si="62"/>
        <v>0.151670014232343</v>
      </c>
      <c r="K97" s="22">
        <f t="shared" si="63"/>
        <v>0.15728742216687422</v>
      </c>
      <c r="L97" s="22">
        <f t="shared" si="64"/>
        <v>0.151670014232343</v>
      </c>
      <c r="M97" s="230">
        <f t="shared" si="56"/>
        <v>0.151670014232343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7"/>
        <v>FISHING -- see worksheet Data 3</v>
      </c>
      <c r="B98" s="75">
        <f t="shared" si="58"/>
        <v>0</v>
      </c>
      <c r="C98" s="75">
        <f t="shared" si="58"/>
        <v>0</v>
      </c>
      <c r="D98" s="24">
        <f t="shared" si="59"/>
        <v>0</v>
      </c>
      <c r="H98" s="24">
        <f t="shared" si="60"/>
        <v>0.89285714285714279</v>
      </c>
      <c r="I98" s="22">
        <f t="shared" si="61"/>
        <v>0</v>
      </c>
      <c r="J98" s="24">
        <f t="shared" si="62"/>
        <v>0</v>
      </c>
      <c r="K98" s="22">
        <f t="shared" si="63"/>
        <v>0</v>
      </c>
      <c r="L98" s="22">
        <f t="shared" si="64"/>
        <v>0</v>
      </c>
      <c r="M98" s="230">
        <f t="shared" si="56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7"/>
        <v>WILD FOODS -- see worksheet Data 3</v>
      </c>
      <c r="B99" s="75">
        <f t="shared" si="58"/>
        <v>0</v>
      </c>
      <c r="C99" s="75">
        <f t="shared" si="58"/>
        <v>0</v>
      </c>
      <c r="D99" s="24">
        <f t="shared" si="59"/>
        <v>0</v>
      </c>
      <c r="H99" s="24">
        <f t="shared" si="60"/>
        <v>0.7142857142857143</v>
      </c>
      <c r="I99" s="22">
        <f t="shared" si="61"/>
        <v>0</v>
      </c>
      <c r="J99" s="24">
        <f t="shared" si="62"/>
        <v>0</v>
      </c>
      <c r="K99" s="22">
        <f t="shared" si="63"/>
        <v>0</v>
      </c>
      <c r="L99" s="22">
        <f t="shared" si="64"/>
        <v>0</v>
      </c>
      <c r="M99" s="230">
        <f t="shared" si="56"/>
        <v>0</v>
      </c>
      <c r="N99" s="232">
        <v>6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7"/>
        <v>Agricultural casual work -- see Data2</v>
      </c>
      <c r="B100" s="75">
        <f t="shared" si="58"/>
        <v>0</v>
      </c>
      <c r="C100" s="75">
        <f t="shared" si="58"/>
        <v>0</v>
      </c>
      <c r="D100" s="24">
        <f t="shared" si="59"/>
        <v>0</v>
      </c>
      <c r="H100" s="24">
        <f t="shared" si="60"/>
        <v>0.86223214285714289</v>
      </c>
      <c r="I100" s="22">
        <f t="shared" si="61"/>
        <v>0</v>
      </c>
      <c r="J100" s="24">
        <f t="shared" si="62"/>
        <v>0</v>
      </c>
      <c r="K100" s="22">
        <f t="shared" si="63"/>
        <v>0</v>
      </c>
      <c r="L100" s="22">
        <f t="shared" si="64"/>
        <v>0</v>
      </c>
      <c r="M100" s="230">
        <f t="shared" si="56"/>
        <v>0</v>
      </c>
      <c r="N100" s="232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7"/>
        <v>Construction casual work -- see Data2</v>
      </c>
      <c r="B101" s="75">
        <f t="shared" si="58"/>
        <v>0</v>
      </c>
      <c r="C101" s="75">
        <f t="shared" si="58"/>
        <v>0</v>
      </c>
      <c r="D101" s="24">
        <f t="shared" si="59"/>
        <v>0</v>
      </c>
      <c r="H101" s="24">
        <f t="shared" si="60"/>
        <v>0.98214285714285721</v>
      </c>
      <c r="I101" s="22">
        <f t="shared" si="61"/>
        <v>0</v>
      </c>
      <c r="J101" s="24">
        <f t="shared" si="62"/>
        <v>0</v>
      </c>
      <c r="K101" s="22">
        <f t="shared" si="63"/>
        <v>0</v>
      </c>
      <c r="L101" s="22">
        <f t="shared" si="64"/>
        <v>0</v>
      </c>
      <c r="M101" s="230">
        <f t="shared" si="56"/>
        <v>0</v>
      </c>
      <c r="N101" s="232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7"/>
        <v>Domestic casual work -- see Data2</v>
      </c>
      <c r="B102" s="75">
        <f t="shared" si="58"/>
        <v>0</v>
      </c>
      <c r="C102" s="75">
        <f t="shared" si="58"/>
        <v>0</v>
      </c>
      <c r="D102" s="24">
        <f t="shared" si="59"/>
        <v>0</v>
      </c>
      <c r="H102" s="24">
        <f t="shared" si="60"/>
        <v>0.98214285714285721</v>
      </c>
      <c r="I102" s="22">
        <f t="shared" si="61"/>
        <v>0</v>
      </c>
      <c r="J102" s="24">
        <f t="shared" si="62"/>
        <v>0</v>
      </c>
      <c r="K102" s="22">
        <f t="shared" si="63"/>
        <v>0</v>
      </c>
      <c r="L102" s="22">
        <f t="shared" si="64"/>
        <v>0</v>
      </c>
      <c r="M102" s="230">
        <f t="shared" si="56"/>
        <v>0</v>
      </c>
      <c r="N102" s="232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7"/>
        <v>Labour migration: no. people per HH</v>
      </c>
      <c r="B103" s="75">
        <f t="shared" si="58"/>
        <v>0</v>
      </c>
      <c r="C103" s="75">
        <f t="shared" si="58"/>
        <v>0</v>
      </c>
      <c r="D103" s="24">
        <f t="shared" si="59"/>
        <v>0</v>
      </c>
      <c r="H103" s="24">
        <f t="shared" si="60"/>
        <v>0.95535714285714279</v>
      </c>
      <c r="I103" s="22">
        <f t="shared" si="61"/>
        <v>0</v>
      </c>
      <c r="J103" s="24">
        <f t="shared" si="62"/>
        <v>0</v>
      </c>
      <c r="K103" s="22">
        <f t="shared" si="63"/>
        <v>0</v>
      </c>
      <c r="L103" s="22">
        <f t="shared" si="64"/>
        <v>0</v>
      </c>
      <c r="M103" s="57">
        <f t="shared" si="56"/>
        <v>0</v>
      </c>
      <c r="N103" s="232">
        <v>8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7"/>
        <v>Formal Employment (e.g. teachers, salaried staff, etc.)</v>
      </c>
      <c r="B104" s="75">
        <f t="shared" si="58"/>
        <v>28.311735990037356</v>
      </c>
      <c r="C104" s="75">
        <f t="shared" si="58"/>
        <v>0</v>
      </c>
      <c r="D104" s="24">
        <f t="shared" si="59"/>
        <v>28.311735990037356</v>
      </c>
      <c r="H104" s="24">
        <f t="shared" si="60"/>
        <v>0.95535714285714279</v>
      </c>
      <c r="I104" s="22">
        <f t="shared" si="61"/>
        <v>27.04781920476783</v>
      </c>
      <c r="J104" s="24">
        <f t="shared" si="62"/>
        <v>27.04781920476783</v>
      </c>
      <c r="K104" s="22">
        <f t="shared" si="63"/>
        <v>28.311735990037356</v>
      </c>
      <c r="L104" s="22">
        <f t="shared" si="64"/>
        <v>27.04781920476783</v>
      </c>
      <c r="M104" s="57">
        <f t="shared" si="56"/>
        <v>27.04781920476783</v>
      </c>
      <c r="N104" s="232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7"/>
        <v>Self-employment -- see Data2</v>
      </c>
      <c r="B105" s="75">
        <f t="shared" si="58"/>
        <v>0</v>
      </c>
      <c r="C105" s="75">
        <f t="shared" si="58"/>
        <v>0</v>
      </c>
      <c r="D105" s="24">
        <f t="shared" si="59"/>
        <v>0</v>
      </c>
      <c r="H105" s="24">
        <f t="shared" si="60"/>
        <v>0.98214285714285721</v>
      </c>
      <c r="I105" s="22">
        <f t="shared" si="61"/>
        <v>0</v>
      </c>
      <c r="J105" s="24">
        <f t="shared" si="62"/>
        <v>0</v>
      </c>
      <c r="K105" s="22">
        <f t="shared" si="63"/>
        <v>0</v>
      </c>
      <c r="L105" s="22">
        <f t="shared" si="64"/>
        <v>0</v>
      </c>
      <c r="M105" s="57">
        <f t="shared" si="56"/>
        <v>0</v>
      </c>
      <c r="N105" s="232">
        <v>10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7"/>
        <v>Small business -- see Data2</v>
      </c>
      <c r="B106" s="75">
        <f t="shared" si="58"/>
        <v>28.311735990037356</v>
      </c>
      <c r="C106" s="75">
        <f t="shared" si="58"/>
        <v>0</v>
      </c>
      <c r="D106" s="24">
        <f t="shared" si="59"/>
        <v>28.311735990037356</v>
      </c>
      <c r="H106" s="24">
        <f t="shared" si="60"/>
        <v>0.9375</v>
      </c>
      <c r="I106" s="22">
        <f t="shared" si="61"/>
        <v>26.542252490660022</v>
      </c>
      <c r="J106" s="24">
        <f t="shared" si="62"/>
        <v>26.542252490660022</v>
      </c>
      <c r="K106" s="22">
        <f t="shared" si="63"/>
        <v>28.311735990037356</v>
      </c>
      <c r="L106" s="22">
        <f t="shared" si="64"/>
        <v>26.542252490660022</v>
      </c>
      <c r="M106" s="57">
        <f t="shared" si="56"/>
        <v>26.542252490660022</v>
      </c>
      <c r="N106" s="232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7"/>
        <v>Social Cash Transfers -- see Data2</v>
      </c>
      <c r="B107" s="75">
        <f t="shared" si="58"/>
        <v>1.5566092723310316</v>
      </c>
      <c r="C107" s="75">
        <f t="shared" si="58"/>
        <v>0</v>
      </c>
      <c r="D107" s="24">
        <f t="shared" si="59"/>
        <v>1.5566092723310316</v>
      </c>
      <c r="H107" s="24">
        <f t="shared" si="60"/>
        <v>0.99107142857142871</v>
      </c>
      <c r="I107" s="22">
        <f t="shared" si="61"/>
        <v>1.5427109752566477</v>
      </c>
      <c r="J107" s="24">
        <f t="shared" si="62"/>
        <v>1.5427109752566477</v>
      </c>
      <c r="K107" s="22">
        <f t="shared" si="63"/>
        <v>1.5566092723310316</v>
      </c>
      <c r="L107" s="22">
        <f t="shared" si="64"/>
        <v>1.5427109752566477</v>
      </c>
      <c r="M107" s="57">
        <f t="shared" si="56"/>
        <v>1.5427109752566477</v>
      </c>
      <c r="N107" s="232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7"/>
        <v>Remittances: no. times per year</v>
      </c>
      <c r="B108" s="75">
        <f t="shared" si="58"/>
        <v>2.8311735990037357</v>
      </c>
      <c r="C108" s="75">
        <f t="shared" si="58"/>
        <v>0</v>
      </c>
      <c r="D108" s="24">
        <f t="shared" si="59"/>
        <v>2.8311735990037357</v>
      </c>
      <c r="H108" s="24">
        <f t="shared" si="60"/>
        <v>0.9375</v>
      </c>
      <c r="I108" s="22">
        <f t="shared" si="61"/>
        <v>2.6542252490660023</v>
      </c>
      <c r="J108" s="24">
        <f t="shared" si="62"/>
        <v>2.6542252490660023</v>
      </c>
      <c r="K108" s="22">
        <f t="shared" si="63"/>
        <v>2.8311735990037357</v>
      </c>
      <c r="L108" s="22">
        <f t="shared" si="64"/>
        <v>2.6542252490660023</v>
      </c>
      <c r="M108" s="57">
        <f t="shared" si="56"/>
        <v>2.6542252490660023</v>
      </c>
      <c r="N108" s="232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7"/>
        <v/>
      </c>
      <c r="B109" s="75">
        <f t="shared" si="58"/>
        <v>0</v>
      </c>
      <c r="C109" s="75">
        <f t="shared" si="58"/>
        <v>0</v>
      </c>
      <c r="D109" s="24">
        <f t="shared" si="59"/>
        <v>0</v>
      </c>
      <c r="H109" s="24">
        <f t="shared" si="60"/>
        <v>0.89285714285714279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57">
        <f t="shared" si="56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7"/>
        <v/>
      </c>
      <c r="B110" s="75">
        <f t="shared" si="58"/>
        <v>0</v>
      </c>
      <c r="C110" s="75">
        <f t="shared" si="58"/>
        <v>0</v>
      </c>
      <c r="D110" s="24">
        <f t="shared" si="59"/>
        <v>0</v>
      </c>
      <c r="H110" s="24">
        <f t="shared" si="60"/>
        <v>0.89285714285714279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57">
        <f t="shared" si="56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">
        <v>32</v>
      </c>
      <c r="B111" s="22">
        <f>SUM(B88:B110)</f>
        <v>68.29071335857013</v>
      </c>
      <c r="C111" s="22">
        <f>SUM(C88:C110)</f>
        <v>-2.3249047089041093</v>
      </c>
      <c r="D111" s="24">
        <f>SUM(D88:D110)</f>
        <v>65.965808649666016</v>
      </c>
      <c r="E111" s="22"/>
      <c r="F111" s="2"/>
      <c r="G111" s="2"/>
      <c r="H111" s="31"/>
      <c r="I111" s="22">
        <f>SUM(I88:I110)</f>
        <v>62.619032007435074</v>
      </c>
      <c r="J111" s="24">
        <f>SUM(J88:J110)</f>
        <v>64.775432508821794</v>
      </c>
      <c r="K111" s="22">
        <f>SUM(K88:K110)</f>
        <v>68.29071335857013</v>
      </c>
      <c r="L111" s="22">
        <f>SUM(L88:L110)</f>
        <v>64.775195048305818</v>
      </c>
      <c r="M111" s="57">
        <f t="shared" si="56"/>
        <v>64.775432508821794</v>
      </c>
      <c r="N111" s="5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83"/>
      <c r="B112" s="83"/>
      <c r="C112" s="83"/>
      <c r="D112" s="10"/>
      <c r="E112" s="11"/>
      <c r="F112" s="11"/>
      <c r="G112" s="11"/>
      <c r="H112" s="10"/>
      <c r="I112" s="11"/>
      <c r="J112" s="62"/>
      <c r="K112" s="14"/>
      <c r="L112" s="11"/>
      <c r="M112" s="63"/>
      <c r="N112" s="5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>
      <c r="A113" s="73" t="str">
        <f>A64</f>
        <v>Expenditure : Better-off HHs</v>
      </c>
      <c r="B113" s="2"/>
      <c r="C113" s="2"/>
      <c r="D113" s="31"/>
      <c r="E113" s="2"/>
      <c r="F113" s="2"/>
      <c r="G113" s="2"/>
      <c r="H113" s="31"/>
      <c r="I113" s="22"/>
      <c r="J113" s="18"/>
      <c r="L113" s="2"/>
      <c r="M113" s="57"/>
      <c r="N113" s="5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  <c r="AM113" s="21"/>
      <c r="AN113" s="21"/>
      <c r="AO113" s="21"/>
      <c r="AV113" s="21"/>
      <c r="AW113" s="21"/>
      <c r="AX113" s="21"/>
      <c r="BC113" s="21"/>
      <c r="BD113" s="21"/>
      <c r="BE113" s="21"/>
      <c r="BL113" s="21"/>
      <c r="BM113" s="21"/>
      <c r="BN113" s="21"/>
      <c r="BS113" s="21"/>
      <c r="BT113" s="21"/>
      <c r="BU113" s="21"/>
      <c r="CA113" s="21"/>
      <c r="CB113" s="21"/>
      <c r="CC113" s="21"/>
      <c r="CH113" s="21"/>
      <c r="CI113" s="21"/>
      <c r="CJ113" s="21"/>
    </row>
    <row r="114" spans="1:88" ht="14" customHeight="1">
      <c r="A114" s="84"/>
      <c r="B114" s="19" t="s">
        <v>7</v>
      </c>
      <c r="C114" s="2"/>
      <c r="D114" s="16"/>
      <c r="H114" s="16" t="s">
        <v>12</v>
      </c>
      <c r="I114" s="19" t="s">
        <v>13</v>
      </c>
      <c r="J114" s="16" t="s">
        <v>14</v>
      </c>
      <c r="K114" s="19" t="s">
        <v>7</v>
      </c>
      <c r="L114" s="19" t="s">
        <v>15</v>
      </c>
      <c r="M114" s="57" t="str">
        <f t="shared" ref="M114:M122" si="65">(J114)</f>
        <v>Curr.</v>
      </c>
      <c r="N114" s="5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">
        <v>44</v>
      </c>
      <c r="B115" s="19" t="s">
        <v>35</v>
      </c>
      <c r="C115" s="2"/>
      <c r="D115" s="31"/>
      <c r="H115" s="16" t="s">
        <v>18</v>
      </c>
      <c r="I115" s="19" t="s">
        <v>35</v>
      </c>
      <c r="J115" s="16" t="s">
        <v>35</v>
      </c>
      <c r="K115" s="19" t="s">
        <v>35</v>
      </c>
      <c r="L115" s="19" t="s">
        <v>19</v>
      </c>
      <c r="M115" s="57" t="str">
        <f t="shared" si="65"/>
        <v>Expend</v>
      </c>
      <c r="N115" s="5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2"/>
      <c r="AC115" s="2"/>
      <c r="AD115" s="2"/>
      <c r="AE115" s="2"/>
      <c r="AF115" s="2"/>
      <c r="AG115" s="2"/>
    </row>
    <row r="116" spans="1:88" ht="14" customHeight="1">
      <c r="A116" s="109" t="s">
        <v>131</v>
      </c>
      <c r="B116" s="75">
        <f>B67/B80</f>
        <v>3.8211937507024691</v>
      </c>
      <c r="C116" s="2"/>
      <c r="D116" s="24"/>
      <c r="H116" s="24">
        <f>(E67*F67/G$39*F$7/F$9)</f>
        <v>1.0178571428571426</v>
      </c>
      <c r="I116" s="29">
        <f>IF(SUMPRODUCT($B$116:$B116,$H$116:$H116)&lt;I$111,($B116*$H116),I$111)</f>
        <v>3.8894293533935835</v>
      </c>
      <c r="J116" s="241">
        <f>IF(SUMPRODUCT($B$116:$B116,$H$116:$H116)&lt;J$111,($B116*$H116),J$111)</f>
        <v>3.8894293533935835</v>
      </c>
      <c r="K116" s="22">
        <f>(B116)</f>
        <v>3.8211937507024691</v>
      </c>
      <c r="L116" s="22">
        <f>IF(B116*H116&gt;=L111,L111,B116*H116)</f>
        <v>3.8894293533935835</v>
      </c>
      <c r="M116" s="57">
        <f t="shared" si="65"/>
        <v>3.8894293533935835</v>
      </c>
      <c r="N116" s="5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2"/>
      <c r="AC116" s="2"/>
      <c r="AD116" s="2"/>
      <c r="AE116" s="2"/>
      <c r="AF116" s="2"/>
      <c r="AG116" s="2"/>
    </row>
    <row r="117" spans="1:88" ht="14" customHeight="1">
      <c r="A117" s="109" t="s">
        <v>132</v>
      </c>
      <c r="B117" s="75"/>
      <c r="C117" s="2"/>
      <c r="D117" s="24"/>
      <c r="H117" s="24">
        <f t="shared" ref="H117:H118" si="66">(E68*F68/G$39*F$7/F$9)</f>
        <v>0.99107142857142871</v>
      </c>
      <c r="I117" s="29">
        <f>IF(SUMPRODUCT($B$116:$B117,$H$116:$H117)&lt;I$111,($B117*$H117),IF(SUMPRODUCT($B$116:$B116,$H$116:$H116)&lt;I$111,I$111-SUMPRODUCT($B$116:$B116,$H$116:$H116),0))+I111</f>
        <v>62.619032007435074</v>
      </c>
      <c r="J117" s="241">
        <f>IF(SUMPRODUCT($B$116:$B117,$H$116:$H117)&lt;J$111,($B117*$H117),IF(SUMPRODUCT($B$116:$B116,$H$116:$H116)&lt;J$111,J$111-SUMPRODUCT($B$116:$B116,$H$116:$H116),0))</f>
        <v>0</v>
      </c>
      <c r="K117" s="22">
        <f t="shared" ref="K117:K118" si="67">(B117)</f>
        <v>0</v>
      </c>
      <c r="L117" s="22">
        <f t="shared" ref="L117:L118" si="68">IF(B117*H117&gt;=L112,L112,B117*H117)</f>
        <v>0</v>
      </c>
      <c r="M117" s="57">
        <f t="shared" ref="M117:M118" si="69">(J117)</f>
        <v>0</v>
      </c>
      <c r="N117" s="5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2"/>
      <c r="AC117" s="2"/>
      <c r="AD117" s="2"/>
      <c r="AE117" s="2"/>
      <c r="AF117" s="2"/>
      <c r="AG117" s="2"/>
    </row>
    <row r="118" spans="1:88" ht="14" customHeight="1">
      <c r="A118" s="109" t="s">
        <v>133</v>
      </c>
      <c r="B118" s="75"/>
      <c r="C118" s="2"/>
      <c r="D118" s="24"/>
      <c r="H118" s="24">
        <f t="shared" si="66"/>
        <v>0.99107142857142871</v>
      </c>
      <c r="I118" s="29">
        <f>IF(SUMPRODUCT($B$116:$B118,$H$116:$H118)&lt;(I$111-I$116),($B118*$H118),IF(SUMPRODUCT($B$116:$B117,$H$116:$H117)&lt;(I$111-I$116),I$111-I$116-SUMPRODUCT($B$116:$B117,$H$116:$H117),0))</f>
        <v>0</v>
      </c>
      <c r="J118" s="241">
        <f>IF(SUMPRODUCT($B$116:$B118,$H$116:$H118)&lt;(J$111-J$120),($B118*$H118),IF(SUMPRODUCT($B$116:$B117,$H$116:$H117)&lt;(J$111-J$120),J$111-J$116-SUMPRODUCT($B$116:$B117,$H$116:$H117),0))</f>
        <v>0</v>
      </c>
      <c r="K118" s="22">
        <f t="shared" si="67"/>
        <v>0</v>
      </c>
      <c r="L118" s="22">
        <f t="shared" si="68"/>
        <v>0</v>
      </c>
      <c r="M118" s="57">
        <f t="shared" si="69"/>
        <v>0</v>
      </c>
      <c r="N118" s="5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2"/>
      <c r="AC118" s="2"/>
      <c r="AD118" s="2"/>
      <c r="AE118" s="2"/>
      <c r="AF118" s="2"/>
      <c r="AG118" s="2"/>
    </row>
    <row r="119" spans="1:88" ht="14" customHeight="1">
      <c r="A119" s="109" t="s">
        <v>134</v>
      </c>
      <c r="B119" s="75">
        <f>B70/B80</f>
        <v>15.286371341843086</v>
      </c>
      <c r="C119" s="2"/>
      <c r="D119" s="24"/>
      <c r="H119" s="24">
        <f>(E70*F70/G$39*F$7/F$9)</f>
        <v>0.99107142857142871</v>
      </c>
      <c r="I119" s="29">
        <f>IF(SUMPRODUCT($B$116:$B119,$H$116:$H119)&lt;(I$111-I$116),($B119*$H119),IF(SUMPRODUCT($B$116:$B118,$H$116:$H118)&lt;(I$111-I120),I$111-I$116-SUMPRODUCT($B$116:$B118,$H$116:$H118),0))</f>
        <v>15.149885883433775</v>
      </c>
      <c r="J119" s="241">
        <f>IF(SUMPRODUCT($B$116:$B119,$H$116:$H119)&lt;(J$111-J$120),($B119*$H119),IF(SUMPRODUCT($B$116:$B118,$H$116:$H118)&lt;(J$111-J120),J$111-J$120-SUMPRODUCT($B$116:$B118,$H$116:$H118),0))</f>
        <v>15.149885883433775</v>
      </c>
      <c r="K119" s="22">
        <f>(B119)</f>
        <v>15.286371341843086</v>
      </c>
      <c r="L119" s="22">
        <f>IF(L116=L111,0,(L111-L116)/(B111-B116)*K119)</f>
        <v>14.436627254335811</v>
      </c>
      <c r="M119" s="57">
        <f t="shared" si="65"/>
        <v>15.149885883433775</v>
      </c>
      <c r="N119" s="58"/>
      <c r="Q119" s="2"/>
      <c r="R119" s="22"/>
      <c r="S119" s="2"/>
      <c r="T119" s="2"/>
      <c r="U119" s="2"/>
      <c r="V119" s="2"/>
      <c r="W119" s="2"/>
      <c r="X119" s="2"/>
      <c r="Y119" s="2"/>
      <c r="Z119" s="2"/>
      <c r="AA119" s="2"/>
      <c r="AB119" s="22"/>
      <c r="AC119" s="2"/>
      <c r="AD119" s="2"/>
      <c r="AE119" s="2"/>
      <c r="AF119" s="2"/>
      <c r="AG119" s="2"/>
    </row>
    <row r="120" spans="1:88" ht="14" customHeight="1">
      <c r="A120" s="1" t="s">
        <v>135</v>
      </c>
      <c r="B120" s="22">
        <f>(B32)</f>
        <v>0.75497962640099636</v>
      </c>
      <c r="C120" s="2"/>
      <c r="D120" s="31"/>
      <c r="E120" s="2"/>
      <c r="F120" s="2"/>
      <c r="G120" s="2"/>
      <c r="H120" s="24"/>
      <c r="I120" s="29">
        <f>(I32)</f>
        <v>58.729602654041493</v>
      </c>
      <c r="J120" s="231">
        <f>(J32)</f>
        <v>0.75159357060098175</v>
      </c>
      <c r="K120" s="22">
        <f>(B120)</f>
        <v>0.75497962640099636</v>
      </c>
      <c r="L120" s="22">
        <f>IF(L116=L111,0,(L111-L116)/(B111-B116)*K120)</f>
        <v>0.71301155828488139</v>
      </c>
      <c r="M120" s="57">
        <f t="shared" si="65"/>
        <v>0.75159357060098175</v>
      </c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2"/>
      <c r="AC120" s="2"/>
      <c r="AD120" s="2"/>
      <c r="AE120" s="2"/>
      <c r="AF120" s="2"/>
      <c r="AG120" s="2"/>
    </row>
    <row r="121" spans="1:88" ht="14" customHeight="1">
      <c r="A121" s="56" t="s">
        <v>55</v>
      </c>
      <c r="B121" s="22">
        <f>(B122-B116-B119-B120)</f>
        <v>48.428168639623586</v>
      </c>
      <c r="C121" s="2"/>
      <c r="D121" s="31"/>
      <c r="E121" s="2"/>
      <c r="F121" s="2"/>
      <c r="G121" s="2"/>
      <c r="H121" s="24"/>
      <c r="I121" s="29"/>
      <c r="J121" s="231">
        <f>(J122-J116-J117-J118-J119-J120)</f>
        <v>44.984523701393456</v>
      </c>
      <c r="K121" s="22">
        <f>(B121)</f>
        <v>48.428168639623586</v>
      </c>
      <c r="L121" s="22">
        <f>IF(L116=L111,0,(L111-L116)/(B111-B116)*K121)</f>
        <v>45.736126882291543</v>
      </c>
      <c r="M121" s="57">
        <f t="shared" si="65"/>
        <v>44.984523701393456</v>
      </c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</row>
    <row r="122" spans="1:88" ht="14" customHeight="1">
      <c r="A122" s="2" t="s">
        <v>32</v>
      </c>
      <c r="B122" s="22">
        <f>(B111)</f>
        <v>68.29071335857013</v>
      </c>
      <c r="C122" s="2"/>
      <c r="D122" s="31"/>
      <c r="E122" s="2"/>
      <c r="F122" s="2"/>
      <c r="G122" s="2"/>
      <c r="H122" s="24"/>
      <c r="I122" s="29">
        <f>(I111)</f>
        <v>62.619032007435074</v>
      </c>
      <c r="J122" s="231">
        <f>(J111)</f>
        <v>64.775432508821794</v>
      </c>
      <c r="K122" s="22">
        <f>(B122)</f>
        <v>68.29071335857013</v>
      </c>
      <c r="L122" s="22">
        <f>(L111)</f>
        <v>64.775195048305818</v>
      </c>
      <c r="M122" s="57">
        <f t="shared" si="65"/>
        <v>64.775432508821794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2"/>
      <c r="AC122" s="2"/>
      <c r="AD122" s="2"/>
      <c r="AE122" s="2"/>
      <c r="AF122" s="2"/>
      <c r="AG122" s="2"/>
    </row>
    <row r="123" spans="1:88" ht="14" customHeight="1">
      <c r="A123" s="2" t="s">
        <v>36</v>
      </c>
      <c r="B123" s="22"/>
      <c r="C123" s="2"/>
      <c r="D123" s="31"/>
      <c r="E123" s="2"/>
      <c r="F123" s="2"/>
      <c r="G123" s="2"/>
      <c r="H123" s="24"/>
      <c r="I123" s="29">
        <f>IF(SUMPRODUCT($B116:$B119,$H116:$H119)&gt;(I111-I120),SUMPRODUCT($B116:$B119,$H116:$H119)+I120-I111,0)</f>
        <v>15.149885883433775</v>
      </c>
      <c r="J123" s="241">
        <f>IF(SUMPRODUCT($B116:$B119,$H116:$H119)&gt;(J111-J120),SUMPRODUCT($B116:$B119,$H116:$H119)+J120-J111,0)</f>
        <v>0</v>
      </c>
      <c r="K123" s="22"/>
      <c r="L123" s="22">
        <f>I123-L119</f>
        <v>0.71325862909796456</v>
      </c>
      <c r="M123" s="57">
        <f>I123-M119</f>
        <v>0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4"/>
      <c r="B124" s="14"/>
      <c r="C124" s="14"/>
      <c r="D124" s="12"/>
      <c r="E124" s="14"/>
      <c r="F124" s="14"/>
      <c r="G124" s="14"/>
      <c r="H124" s="12"/>
      <c r="I124" s="14"/>
      <c r="J124" s="12"/>
      <c r="K124" s="14"/>
      <c r="L124" s="14"/>
      <c r="M124" s="66"/>
      <c r="N124" s="58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B135" s="22"/>
      <c r="C135" s="22"/>
      <c r="D135" s="2"/>
      <c r="E135" s="2"/>
      <c r="F135" s="2"/>
      <c r="G135" s="2"/>
      <c r="H135" s="2"/>
      <c r="I135" s="22"/>
      <c r="J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68"/>
      <c r="AC135" s="2"/>
      <c r="AD135" s="2"/>
      <c r="AE135" s="2"/>
      <c r="AF135" s="2"/>
      <c r="AG135" s="2"/>
    </row>
    <row r="136" spans="1:33">
      <c r="B136" s="22"/>
      <c r="C136" s="22"/>
      <c r="D136" s="2"/>
      <c r="E136" s="2"/>
      <c r="F136" s="2"/>
      <c r="G136" s="2"/>
      <c r="H136" s="2"/>
      <c r="I136" s="2"/>
      <c r="J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68"/>
      <c r="AC136" s="2"/>
      <c r="AD136" s="2"/>
      <c r="AE136" s="2"/>
      <c r="AF136" s="2"/>
      <c r="AG136" s="2"/>
    </row>
    <row r="137" spans="1:33">
      <c r="B137" s="22"/>
      <c r="C137" s="22"/>
      <c r="D137" s="2"/>
      <c r="E137" s="2"/>
      <c r="F137" s="2"/>
      <c r="G137" s="2"/>
      <c r="H137" s="2"/>
      <c r="I137" s="22"/>
      <c r="J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68"/>
      <c r="AC137" s="2"/>
      <c r="AD137" s="2"/>
      <c r="AE137" s="2"/>
      <c r="AF137" s="2"/>
      <c r="AG137" s="2"/>
    </row>
    <row r="138" spans="1:33">
      <c r="B138" s="2"/>
      <c r="C138" s="2"/>
      <c r="D138" s="2"/>
      <c r="E138" s="2"/>
      <c r="F138" s="2"/>
      <c r="G138" s="2"/>
      <c r="H138" s="2"/>
      <c r="I138" s="2"/>
      <c r="J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68"/>
      <c r="AC138" s="2"/>
      <c r="AD138" s="2"/>
      <c r="AE138" s="2"/>
      <c r="AF138" s="2"/>
      <c r="AG138" s="2"/>
    </row>
    <row r="139" spans="1:33">
      <c r="B139" s="22"/>
      <c r="C139" s="22"/>
      <c r="D139" s="2"/>
      <c r="E139" s="2"/>
      <c r="F139" s="2"/>
      <c r="G139" s="2"/>
      <c r="H139" s="2"/>
      <c r="I139" s="2"/>
      <c r="J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68"/>
      <c r="AC139" s="2"/>
      <c r="AD139" s="2"/>
      <c r="AE139" s="2"/>
      <c r="AF139" s="2"/>
      <c r="AG139" s="2"/>
    </row>
    <row r="140" spans="1:33">
      <c r="B140" s="22"/>
      <c r="C140" s="22"/>
      <c r="D140" s="2"/>
      <c r="E140" s="2"/>
      <c r="F140" s="2"/>
      <c r="G140" s="2"/>
      <c r="H140" s="2"/>
      <c r="I140" s="2"/>
      <c r="J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68"/>
      <c r="AC140" s="2"/>
      <c r="AD140" s="2"/>
      <c r="AE140" s="2"/>
      <c r="AF140" s="2"/>
      <c r="AG140" s="2"/>
    </row>
    <row r="141" spans="1:33">
      <c r="B141" s="22"/>
      <c r="C141" s="22"/>
      <c r="D141" s="2"/>
      <c r="E141" s="2"/>
      <c r="F141" s="2"/>
      <c r="G141" s="2"/>
      <c r="H141" s="2"/>
      <c r="I141" s="2"/>
      <c r="J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68"/>
      <c r="AC141" s="2"/>
      <c r="AD141" s="2"/>
      <c r="AE141" s="2"/>
      <c r="AF141" s="2"/>
      <c r="AG141" s="2"/>
    </row>
    <row r="142" spans="1:33">
      <c r="B142" s="22"/>
      <c r="C142" s="2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68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69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3"/>
      <c r="B146" s="2"/>
      <c r="C146" s="2"/>
      <c r="D146" s="2"/>
      <c r="E146" s="2"/>
      <c r="F146" s="2"/>
      <c r="H146" s="2"/>
      <c r="I146" s="2"/>
      <c r="J146" s="2"/>
      <c r="L146" s="2"/>
      <c r="W146" s="71"/>
    </row>
    <row r="147" spans="1:33">
      <c r="A147" s="2"/>
      <c r="B147" s="2"/>
      <c r="C147" s="2"/>
      <c r="D147" s="2"/>
      <c r="E147" s="2"/>
      <c r="F147" s="2"/>
      <c r="H147" s="2"/>
      <c r="I147" s="2"/>
      <c r="J147" s="2"/>
      <c r="L147" s="2"/>
      <c r="W147" s="71"/>
    </row>
    <row r="148" spans="1:33">
      <c r="A148" s="2"/>
      <c r="B148" s="2"/>
      <c r="C148" s="2"/>
      <c r="D148" s="2"/>
      <c r="E148" s="2"/>
      <c r="F148" s="2"/>
      <c r="H148" s="2"/>
      <c r="I148" s="2"/>
      <c r="J148" s="2"/>
      <c r="L148" s="2"/>
      <c r="W148" s="71"/>
    </row>
    <row r="149" spans="1:33">
      <c r="A149" s="22"/>
      <c r="B149" s="2"/>
      <c r="C149" s="2"/>
      <c r="D149" s="2"/>
      <c r="E149" s="2"/>
      <c r="F149" s="2"/>
      <c r="H149" s="2"/>
      <c r="I149" s="2"/>
      <c r="J149" s="2"/>
      <c r="L149" s="2"/>
      <c r="W149" s="71"/>
    </row>
    <row r="150" spans="1:33">
      <c r="A150" s="2"/>
      <c r="B150" s="2"/>
      <c r="C150" s="2"/>
      <c r="D150" s="2"/>
      <c r="E150" s="2"/>
      <c r="F150" s="2"/>
      <c r="H150" s="2"/>
      <c r="I150" s="2"/>
      <c r="J150" s="2"/>
      <c r="L150" s="2"/>
      <c r="W150" s="71"/>
    </row>
    <row r="151" spans="1:33">
      <c r="A151" s="2"/>
      <c r="B151" s="2"/>
      <c r="C151" s="2"/>
      <c r="D151" s="2"/>
      <c r="E151" s="2"/>
      <c r="F151" s="2"/>
      <c r="H151" s="2"/>
      <c r="I151" s="2"/>
      <c r="J151" s="2"/>
      <c r="L151" s="2"/>
    </row>
    <row r="152" spans="1:33">
      <c r="A152" s="2"/>
      <c r="B152" s="2"/>
      <c r="C152" s="2"/>
      <c r="D152" s="2"/>
      <c r="E152" s="2"/>
      <c r="F152" s="2"/>
      <c r="H152" s="2"/>
      <c r="I152" s="2"/>
      <c r="J152" s="2"/>
      <c r="L152" s="2"/>
    </row>
    <row r="153" spans="1:33">
      <c r="A153" s="2"/>
      <c r="B153" s="2"/>
      <c r="C153" s="2"/>
      <c r="D153" s="2"/>
      <c r="E153" s="2"/>
      <c r="F153" s="2"/>
      <c r="H153" s="2"/>
      <c r="I153" s="2"/>
      <c r="J153" s="2"/>
      <c r="L153" s="2"/>
      <c r="AB153" s="71"/>
    </row>
    <row r="154" spans="1:33">
      <c r="A154" s="2"/>
      <c r="B154" s="2"/>
      <c r="C154" s="2"/>
      <c r="D154" s="2"/>
      <c r="E154" s="2"/>
      <c r="F154" s="2"/>
      <c r="H154" s="2"/>
      <c r="I154" s="2"/>
      <c r="J154" s="2"/>
      <c r="L154" s="2"/>
      <c r="AB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AB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AB156" s="71"/>
    </row>
    <row r="157" spans="1:33">
      <c r="A157" s="2"/>
      <c r="B157" s="2"/>
      <c r="C157" s="2"/>
      <c r="D157" s="2"/>
      <c r="E157" s="2"/>
      <c r="F157" s="2"/>
      <c r="H157" s="2"/>
      <c r="I157" s="2"/>
      <c r="J157" s="2"/>
      <c r="L157" s="2"/>
      <c r="W157" s="72"/>
      <c r="AB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2"/>
      <c r="AB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  <c r="AB159" s="71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  <c r="AB160" s="71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W163" s="7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W164" s="72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W169" s="7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  <c r="W170" s="72"/>
      <c r="AB170" s="71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AB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</row>
    <row r="177" spans="23:28">
      <c r="AB177" s="71"/>
    </row>
    <row r="178" spans="23:28">
      <c r="AB178" s="71"/>
    </row>
    <row r="179" spans="23:28">
      <c r="AB179" s="71"/>
    </row>
    <row r="180" spans="23:28">
      <c r="AB180" s="71"/>
    </row>
    <row r="181" spans="23:28">
      <c r="W181" s="72"/>
      <c r="AB181" s="71"/>
    </row>
    <row r="182" spans="23:28">
      <c r="W182" s="72"/>
      <c r="AB182" s="71"/>
    </row>
    <row r="183" spans="23:28">
      <c r="W183" s="72"/>
    </row>
    <row r="185" spans="23:28">
      <c r="AB185" s="71"/>
    </row>
    <row r="186" spans="23:28">
      <c r="AB186" s="71"/>
    </row>
    <row r="187" spans="23:28">
      <c r="AB187" s="71"/>
    </row>
    <row r="188" spans="23:28">
      <c r="AB188" s="71"/>
    </row>
    <row r="189" spans="23:28">
      <c r="AB189" s="71"/>
    </row>
    <row r="190" spans="23:28">
      <c r="W190" s="72"/>
      <c r="AB190" s="71"/>
    </row>
    <row r="191" spans="23:28">
      <c r="W191" s="72"/>
    </row>
    <row r="192" spans="23:28">
      <c r="W192" s="72"/>
    </row>
    <row r="199" spans="23:23">
      <c r="W199" s="72"/>
    </row>
    <row r="200" spans="23:23">
      <c r="W200" s="72"/>
    </row>
    <row r="201" spans="23:23">
      <c r="W201" s="72"/>
    </row>
    <row r="211" spans="23:23">
      <c r="W211" s="72"/>
    </row>
    <row r="212" spans="23:23">
      <c r="W212" s="72"/>
    </row>
    <row r="213" spans="23:23">
      <c r="W213" s="72"/>
    </row>
    <row r="220" spans="23:23">
      <c r="W220" s="72"/>
    </row>
    <row r="221" spans="23:23">
      <c r="W221" s="72"/>
    </row>
    <row r="222" spans="23:23">
      <c r="W222" s="72"/>
    </row>
    <row r="229" spans="23:23">
      <c r="W229" s="72"/>
    </row>
    <row r="230" spans="23:23">
      <c r="W230" s="72"/>
    </row>
    <row r="231" spans="23:23">
      <c r="W231" s="72"/>
    </row>
    <row r="241" spans="23:23">
      <c r="W241" s="72"/>
    </row>
    <row r="242" spans="23:23">
      <c r="W242" s="72"/>
    </row>
    <row r="243" spans="23:23">
      <c r="W243" s="72"/>
    </row>
    <row r="250" spans="23:23">
      <c r="W250" s="72"/>
    </row>
    <row r="251" spans="23:23">
      <c r="W251" s="72"/>
    </row>
    <row r="252" spans="23:23">
      <c r="W252" s="72"/>
    </row>
    <row r="259" spans="23:23">
      <c r="W259" s="72"/>
    </row>
    <row r="260" spans="23:23">
      <c r="W260" s="72"/>
    </row>
    <row r="261" spans="23:23">
      <c r="W261" s="72"/>
    </row>
  </sheetData>
  <sheetProtection sheet="1" objects="1" scenarios="1"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1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40" val="1" numFmtId="9"/>
      <inputCells r="F41" val="2" numFmtId="9"/>
      <inputCells r="F42" val="1.25" numFmtId="9"/>
      <inputCells r="F46" val="1" numFmtId="9"/>
      <inputCells r="F47" val="0.4" numFmtId="9"/>
      <inputCells r="F48" val="1" numFmtId="9"/>
      <inputCells r="F61" val="1" numFmtId="9"/>
      <inputCells r="F39" val="2.5" numFmtId="9"/>
      <inputCells r="G39" val="2" numFmtId="9"/>
      <inputCells r="F67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19" val="1" numFmtId="9"/>
      <inputCells r="E30" val="1" numFmtId="9"/>
      <inputCells r="E31" val="1" numFmtId="9"/>
      <inputCells r="E42" val="1" numFmtId="9"/>
      <inputCells r="E46" val="1" numFmtId="9"/>
      <inputCells r="E47" val="1" numFmtId="9"/>
      <inputCells r="E48" val="1" numFmtId="9"/>
      <inputCells r="E61" val="1" numFmtId="9"/>
      <inputCells r="F39" val="1" numFmtId="9"/>
      <inputCells r="F40" val="1" numFmtId="9"/>
      <inputCells r="F41" val="1" numFmtId="9"/>
      <inputCells r="F42" val="1" numFmtId="9"/>
      <inputCells r="F46" val="1" numFmtId="9"/>
      <inputCells r="F47" val="1" numFmtId="9"/>
      <inputCells r="F48" val="1" numFmtId="9"/>
      <inputCells r="F61" val="1" numFmtId="9"/>
      <inputCells r="G39" val="1" numFmtId="9"/>
      <inputCells r="F67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31">
    <cfRule type="cellIs" dxfId="79" priority="97" operator="equal">
      <formula>16</formula>
    </cfRule>
    <cfRule type="cellIs" dxfId="78" priority="98" operator="equal">
      <formula>15</formula>
    </cfRule>
    <cfRule type="cellIs" dxfId="77" priority="99" operator="equal">
      <formula>14</formula>
    </cfRule>
    <cfRule type="cellIs" dxfId="76" priority="100" operator="equal">
      <formula>13</formula>
    </cfRule>
    <cfRule type="cellIs" dxfId="75" priority="101" operator="equal">
      <formula>12</formula>
    </cfRule>
    <cfRule type="cellIs" dxfId="74" priority="102" operator="equal">
      <formula>11</formula>
    </cfRule>
    <cfRule type="cellIs" dxfId="73" priority="103" operator="equal">
      <formula>10</formula>
    </cfRule>
    <cfRule type="cellIs" dxfId="72" priority="104" operator="equal">
      <formula>9</formula>
    </cfRule>
    <cfRule type="cellIs" dxfId="71" priority="105" operator="equal">
      <formula>8</formula>
    </cfRule>
    <cfRule type="cellIs" dxfId="70" priority="106" operator="equal">
      <formula>7</formula>
    </cfRule>
    <cfRule type="cellIs" dxfId="69" priority="107" operator="equal">
      <formula>6</formula>
    </cfRule>
    <cfRule type="cellIs" dxfId="68" priority="108" operator="equal">
      <formula>5</formula>
    </cfRule>
    <cfRule type="cellIs" dxfId="67" priority="109" operator="equal">
      <formula>4</formula>
    </cfRule>
    <cfRule type="cellIs" dxfId="66" priority="110" operator="equal">
      <formula>3</formula>
    </cfRule>
    <cfRule type="cellIs" dxfId="65" priority="111" operator="equal">
      <formula>2</formula>
    </cfRule>
    <cfRule type="cellIs" dxfId="64" priority="112" operator="equal">
      <formula>1</formula>
    </cfRule>
  </conditionalFormatting>
  <conditionalFormatting sqref="N105:N110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6:N30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88:N101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2:N104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3" zoomScale="90" zoomScaleNormal="90" zoomScalePageLayoutView="90" workbookViewId="0">
      <selection activeCell="C53" sqref="C53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8"/>
      <c r="G2" s="89"/>
      <c r="H2" s="89"/>
      <c r="I2" s="89"/>
      <c r="J2" s="89"/>
      <c r="K2" s="252" t="str">
        <f>Poor!A1</f>
        <v>ZALOI</v>
      </c>
      <c r="L2" s="252"/>
      <c r="M2" s="252"/>
      <c r="N2" s="252"/>
      <c r="O2" s="252"/>
      <c r="P2" s="252"/>
      <c r="Q2" s="252"/>
      <c r="R2" s="87"/>
      <c r="S2" s="87"/>
      <c r="T2" s="87"/>
      <c r="U2" s="87"/>
      <c r="V2" s="87"/>
    </row>
    <row r="3" spans="1:22" s="93" customFormat="1" ht="17">
      <c r="A3" s="90"/>
      <c r="B3" s="253" t="str">
        <f>V.Poor!A3</f>
        <v>Sources of Food : Very Poor HHs</v>
      </c>
      <c r="C3" s="254"/>
      <c r="D3" s="254"/>
      <c r="E3" s="254"/>
      <c r="F3" s="92"/>
      <c r="G3" s="251" t="str">
        <f>Poor!A3</f>
        <v>Sources of Food : Poor HHs</v>
      </c>
      <c r="H3" s="251"/>
      <c r="I3" s="251"/>
      <c r="J3" s="251"/>
      <c r="K3" s="89"/>
      <c r="L3" s="251" t="str">
        <f>Middle!A3</f>
        <v>Sources of Food : Middle HHs</v>
      </c>
      <c r="M3" s="251"/>
      <c r="N3" s="251"/>
      <c r="O3" s="251"/>
      <c r="P3" s="251"/>
      <c r="Q3" s="91"/>
      <c r="R3" s="251" t="str">
        <f>Rich!A3</f>
        <v>Sources of Food : Better-off HHs</v>
      </c>
      <c r="S3" s="251"/>
      <c r="T3" s="251"/>
      <c r="U3" s="25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80" zoomScale="125" zoomScaleNormal="125" zoomScalePageLayoutView="125" workbookViewId="0">
      <selection activeCell="H101" sqref="H10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52" t="str">
        <f>Poor!A1</f>
        <v>ZALOI</v>
      </c>
      <c r="L2" s="252"/>
      <c r="M2" s="252"/>
      <c r="N2" s="252"/>
      <c r="O2" s="252"/>
      <c r="P2" s="252"/>
      <c r="Q2" s="252"/>
      <c r="R2" s="87"/>
      <c r="S2" s="87"/>
      <c r="T2" s="87"/>
      <c r="U2" s="87"/>
      <c r="V2" s="87"/>
    </row>
    <row r="3" spans="1:22" s="93" customFormat="1" ht="17">
      <c r="A3" s="90"/>
      <c r="B3" s="89"/>
      <c r="C3" s="253" t="str">
        <f>V.Poor!A36</f>
        <v>Income : Very Poor HHs</v>
      </c>
      <c r="D3" s="253"/>
      <c r="E3" s="253"/>
      <c r="F3" s="90"/>
      <c r="G3" s="251" t="str">
        <f>Poor!A36</f>
        <v>Income : Poor HHs</v>
      </c>
      <c r="H3" s="251"/>
      <c r="I3" s="251"/>
      <c r="J3" s="251"/>
      <c r="K3" s="89"/>
      <c r="L3" s="251" t="str">
        <f>Middle!A36</f>
        <v>Income : Middle HHs</v>
      </c>
      <c r="M3" s="251"/>
      <c r="N3" s="251"/>
      <c r="O3" s="251"/>
      <c r="P3" s="251"/>
      <c r="Q3" s="91"/>
      <c r="R3" s="251" t="str">
        <f>Rich!A36</f>
        <v>Income : Better-off HHs</v>
      </c>
      <c r="S3" s="251"/>
      <c r="T3" s="251"/>
      <c r="U3" s="25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69" t="s">
        <v>88</v>
      </c>
      <c r="C71" s="169" t="s">
        <v>89</v>
      </c>
      <c r="D71" s="169" t="s">
        <v>90</v>
      </c>
      <c r="E71" s="169" t="s">
        <v>91</v>
      </c>
      <c r="F71" s="169" t="s">
        <v>92</v>
      </c>
      <c r="G71" s="169" t="s">
        <v>93</v>
      </c>
      <c r="H71" s="169" t="s">
        <v>94</v>
      </c>
      <c r="I71" s="169" t="s">
        <v>95</v>
      </c>
    </row>
    <row r="72" spans="1:9">
      <c r="A72" t="str">
        <f>V.Poor!Q7</f>
        <v>Own crops Consumed</v>
      </c>
      <c r="B72" s="108">
        <f>V.Poor!R7</f>
        <v>1337.5451015125855</v>
      </c>
      <c r="C72" s="108">
        <f>Poor!R7</f>
        <v>3118.0618548200514</v>
      </c>
      <c r="D72" s="108">
        <f>Middle!R7</f>
        <v>3694.6030970263287</v>
      </c>
      <c r="E72" s="108">
        <f>Rich!R7</f>
        <v>2463.542925912378</v>
      </c>
      <c r="F72" s="108">
        <f>V.Poor!T7</f>
        <v>1333.8177522879546</v>
      </c>
      <c r="G72" s="108">
        <f>Poor!T7</f>
        <v>4466.8420850305465</v>
      </c>
      <c r="H72" s="108">
        <f>Middle!T7</f>
        <v>3546.5023432605626</v>
      </c>
      <c r="I72" s="108">
        <f>Rich!T7</f>
        <v>2462.6778002390088</v>
      </c>
    </row>
    <row r="73" spans="1:9">
      <c r="A73" t="str">
        <f>V.Poor!Q8</f>
        <v>Own crops sold</v>
      </c>
      <c r="B73" s="108">
        <f>V.Poor!R8</f>
        <v>1115.2400000000002</v>
      </c>
      <c r="C73" s="108">
        <f>Poor!R8</f>
        <v>2996</v>
      </c>
      <c r="D73" s="108">
        <f>Middle!R8</f>
        <v>6020</v>
      </c>
      <c r="E73" s="108">
        <f>Rich!R8</f>
        <v>15516.666666666666</v>
      </c>
      <c r="F73" s="108">
        <f>V.Poor!T8</f>
        <v>1006.5747952534413</v>
      </c>
      <c r="G73" s="108">
        <f>Poor!T8</f>
        <v>0</v>
      </c>
      <c r="H73" s="108">
        <f>Middle!T8</f>
        <v>5784.7644679059931</v>
      </c>
      <c r="I73" s="108">
        <f>Rich!T8</f>
        <v>14385.598126792416</v>
      </c>
    </row>
    <row r="74" spans="1:9">
      <c r="A74" t="str">
        <f>V.Poor!Q9</f>
        <v>Animal products consumed</v>
      </c>
      <c r="B74" s="108">
        <f>V.Poor!R9</f>
        <v>0</v>
      </c>
      <c r="C74" s="108">
        <f>Poor!R9</f>
        <v>178.23974005121067</v>
      </c>
      <c r="D74" s="108">
        <f>Middle!R9</f>
        <v>401.34135855546003</v>
      </c>
      <c r="E74" s="108">
        <f>Rich!R9</f>
        <v>1691.656770616976</v>
      </c>
      <c r="F74" s="108">
        <f>V.Poor!T9</f>
        <v>0</v>
      </c>
      <c r="G74" s="108">
        <f>Poor!T9</f>
        <v>178.23974005121067</v>
      </c>
      <c r="H74" s="108">
        <f>Middle!T9</f>
        <v>401.34135855546003</v>
      </c>
      <c r="I74" s="108">
        <f>Rich!T9</f>
        <v>1691.656770616976</v>
      </c>
    </row>
    <row r="75" spans="1:9">
      <c r="A75" t="str">
        <f>V.Poor!Q10</f>
        <v>Animal products sold</v>
      </c>
      <c r="B75" s="108">
        <f>V.Poor!R10</f>
        <v>0</v>
      </c>
      <c r="C75" s="108">
        <f>Poor!R10</f>
        <v>0</v>
      </c>
      <c r="D75" s="108">
        <f>Middle!R10</f>
        <v>0</v>
      </c>
      <c r="E75" s="108">
        <f>Rich!R10</f>
        <v>0</v>
      </c>
      <c r="F75" s="108">
        <f>V.Poor!T10</f>
        <v>0</v>
      </c>
      <c r="G75" s="108">
        <f>Poor!T10</f>
        <v>0</v>
      </c>
      <c r="H75" s="108">
        <f>Middle!T10</f>
        <v>0</v>
      </c>
      <c r="I75" s="108">
        <f>Rich!T10</f>
        <v>0</v>
      </c>
    </row>
    <row r="76" spans="1:9">
      <c r="A76" t="str">
        <f>V.Poor!Q11</f>
        <v>Animals sold</v>
      </c>
      <c r="B76" s="108">
        <f>V.Poor!R11</f>
        <v>0</v>
      </c>
      <c r="C76" s="108">
        <f>Poor!R11</f>
        <v>2240</v>
      </c>
      <c r="D76" s="108">
        <f>Middle!R11</f>
        <v>9856</v>
      </c>
      <c r="E76" s="108">
        <f>Rich!R11</f>
        <v>32862.666666666664</v>
      </c>
      <c r="F76" s="108">
        <f>V.Poor!T11</f>
        <v>0</v>
      </c>
      <c r="G76" s="108">
        <f>Poor!T11</f>
        <v>2060</v>
      </c>
      <c r="H76" s="108">
        <f>Middle!T11</f>
        <v>9378.4245027827019</v>
      </c>
      <c r="I76" s="108">
        <f>Rich!T11</f>
        <v>32059.521704162831</v>
      </c>
    </row>
    <row r="77" spans="1:9">
      <c r="A77" t="str">
        <f>V.Poor!Q12</f>
        <v>Wild foods consumed and sold</v>
      </c>
      <c r="B77" s="108">
        <f>V.Poor!R12</f>
        <v>1390.2461967551797</v>
      </c>
      <c r="C77" s="108">
        <f>Poor!R12</f>
        <v>2609.6000000000008</v>
      </c>
      <c r="D77" s="108">
        <f>Middle!R12</f>
        <v>0</v>
      </c>
      <c r="E77" s="108">
        <f>Rich!R12</f>
        <v>0</v>
      </c>
      <c r="F77" s="108">
        <f>V.Poor!T12</f>
        <v>1003.0627649686053</v>
      </c>
      <c r="G77" s="108">
        <f>Poor!T12</f>
        <v>865.84028625614758</v>
      </c>
      <c r="H77" s="108">
        <f>Middle!T12</f>
        <v>0</v>
      </c>
      <c r="I77" s="108">
        <f>Rich!T12</f>
        <v>0</v>
      </c>
    </row>
    <row r="78" spans="1:9">
      <c r="A78" t="str">
        <f>V.Poor!Q13</f>
        <v>Labour - casual</v>
      </c>
      <c r="B78" s="108">
        <f>V.Poor!R13</f>
        <v>8019.2154696132602</v>
      </c>
      <c r="C78" s="108">
        <f>Poor!R13</f>
        <v>16381.670718232048</v>
      </c>
      <c r="D78" s="108">
        <f>Middle!R13</f>
        <v>898.47513812154705</v>
      </c>
      <c r="E78" s="108">
        <f>Rich!R13</f>
        <v>0</v>
      </c>
      <c r="F78" s="108">
        <f>V.Poor!T13</f>
        <v>7655.6422085635368</v>
      </c>
      <c r="G78" s="108">
        <f>Poor!T13</f>
        <v>15741.114024861879</v>
      </c>
      <c r="H78" s="108">
        <f>Middle!T13</f>
        <v>781.67337016574584</v>
      </c>
      <c r="I78" s="108">
        <f>Rich!T13</f>
        <v>0</v>
      </c>
    </row>
    <row r="79" spans="1:9">
      <c r="A79" t="str">
        <f>V.Poor!Q14</f>
        <v>Labour - formal emp</v>
      </c>
      <c r="B79" s="108">
        <f>V.Poor!R14</f>
        <v>0</v>
      </c>
      <c r="C79" s="108">
        <f>Poor!R14</f>
        <v>16800</v>
      </c>
      <c r="D79" s="108">
        <f>Middle!R14</f>
        <v>73920</v>
      </c>
      <c r="E79" s="108">
        <f>Rich!R14</f>
        <v>188160</v>
      </c>
      <c r="F79" s="108">
        <f>V.Poor!T14</f>
        <v>0</v>
      </c>
      <c r="G79" s="108">
        <f>Poor!T14</f>
        <v>16050</v>
      </c>
      <c r="H79" s="108">
        <f>Middle!T14</f>
        <v>70620</v>
      </c>
      <c r="I79" s="108">
        <f>Rich!T14</f>
        <v>179760</v>
      </c>
    </row>
    <row r="80" spans="1:9">
      <c r="A80" t="str">
        <f>V.Poor!Q15</f>
        <v>Labour - public works</v>
      </c>
      <c r="B80" s="108">
        <f>V.Poor!R15</f>
        <v>0</v>
      </c>
      <c r="C80" s="108">
        <f>Poor!R15</f>
        <v>0</v>
      </c>
      <c r="D80" s="108">
        <f>Middle!R15</f>
        <v>0</v>
      </c>
      <c r="E80" s="108">
        <f>Rich!R15</f>
        <v>0</v>
      </c>
      <c r="F80" s="108">
        <f>V.Poor!T15</f>
        <v>0</v>
      </c>
      <c r="G80" s="108">
        <f>Poor!T15</f>
        <v>0</v>
      </c>
      <c r="H80" s="108">
        <f>Middle!T15</f>
        <v>0</v>
      </c>
      <c r="I80" s="108">
        <f>Rich!T15</f>
        <v>0</v>
      </c>
    </row>
    <row r="81" spans="1:9">
      <c r="A81" t="str">
        <f>V.Poor!Q16</f>
        <v>Self - employment</v>
      </c>
      <c r="B81" s="108">
        <f>V.Poor!R16</f>
        <v>5145.0000000000009</v>
      </c>
      <c r="C81" s="108">
        <f>Poor!R16</f>
        <v>7190.4000000000015</v>
      </c>
      <c r="D81" s="108">
        <f>Middle!R16</f>
        <v>7660.8000000000011</v>
      </c>
      <c r="E81" s="108">
        <f>Rich!R16</f>
        <v>0</v>
      </c>
      <c r="F81" s="108">
        <f>V.Poor!T16</f>
        <v>5042.1384986663243</v>
      </c>
      <c r="G81" s="108">
        <f>Poor!T16</f>
        <v>8474.4000000000033</v>
      </c>
      <c r="H81" s="108">
        <f>Middle!T16</f>
        <v>7436.4627339809831</v>
      </c>
      <c r="I81" s="108">
        <f>Rich!T16</f>
        <v>0</v>
      </c>
    </row>
    <row r="82" spans="1:9">
      <c r="A82" t="str">
        <f>V.Poor!Q17</f>
        <v>Small business/petty trading</v>
      </c>
      <c r="B82" s="108">
        <f>V.Poor!R17</f>
        <v>0</v>
      </c>
      <c r="C82" s="108">
        <f>Poor!R17</f>
        <v>1075.2000000000003</v>
      </c>
      <c r="D82" s="108">
        <f>Middle!R17</f>
        <v>0</v>
      </c>
      <c r="E82" s="108">
        <f>Rich!R17</f>
        <v>188160</v>
      </c>
      <c r="F82" s="108">
        <f>V.Poor!T17</f>
        <v>0</v>
      </c>
      <c r="G82" s="108">
        <f>Poor!T17</f>
        <v>1008.0000000000001</v>
      </c>
      <c r="H82" s="108">
        <f>Middle!T17</f>
        <v>0</v>
      </c>
      <c r="I82" s="108">
        <f>Rich!T17</f>
        <v>176400</v>
      </c>
    </row>
    <row r="83" spans="1:9">
      <c r="A83" t="str">
        <f>V.Poor!Q18</f>
        <v>Food transfer - official</v>
      </c>
      <c r="B83" s="108">
        <f>V.Poor!R18</f>
        <v>85.763535911602219</v>
      </c>
      <c r="C83" s="108">
        <f>Poor!R18</f>
        <v>565.1366629594969</v>
      </c>
      <c r="D83" s="108">
        <f>Middle!R18</f>
        <v>0</v>
      </c>
      <c r="E83" s="108">
        <f>Rich!R18</f>
        <v>0</v>
      </c>
      <c r="F83" s="108">
        <f>V.Poor!T18</f>
        <v>86.695871052404868</v>
      </c>
      <c r="G83" s="108">
        <f>Poor!T18</f>
        <v>565.1366629594969</v>
      </c>
      <c r="H83" s="108">
        <f>Middle!T18</f>
        <v>0</v>
      </c>
      <c r="I83" s="108">
        <f>Rich!T18</f>
        <v>0</v>
      </c>
    </row>
    <row r="84" spans="1:9">
      <c r="A84" t="str">
        <f>V.Poor!Q19</f>
        <v>Food transfer - gifts</v>
      </c>
      <c r="B84" s="108">
        <f>V.Poor!R19</f>
        <v>39.199441338128203</v>
      </c>
      <c r="C84" s="108">
        <f>Poor!R19</f>
        <v>53.759233835147242</v>
      </c>
      <c r="D84" s="108">
        <f>Middle!R19</f>
        <v>71.678978446863013</v>
      </c>
      <c r="E84" s="108">
        <f>Rich!R19</f>
        <v>0</v>
      </c>
      <c r="F84" s="108">
        <f>V.Poor!T19</f>
        <v>39.199441338128203</v>
      </c>
      <c r="G84" s="108">
        <f>Poor!T19</f>
        <v>53.759233835147242</v>
      </c>
      <c r="H84" s="108">
        <f>Middle!T19</f>
        <v>71.678978446863013</v>
      </c>
      <c r="I84" s="108">
        <f>Rich!T19</f>
        <v>0</v>
      </c>
    </row>
    <row r="85" spans="1:9">
      <c r="A85" t="str">
        <f>V.Poor!Q20</f>
        <v>Cash transfer - official</v>
      </c>
      <c r="B85" s="108">
        <f>V.Poor!R20</f>
        <v>21051.290909090912</v>
      </c>
      <c r="C85" s="108">
        <f>Poor!R20</f>
        <v>22327.709090909095</v>
      </c>
      <c r="D85" s="108">
        <f>Middle!R20</f>
        <v>8867.345454545457</v>
      </c>
      <c r="E85" s="108">
        <f>Rich!R20</f>
        <v>10345.236363636366</v>
      </c>
      <c r="F85" s="108">
        <f>V.Poor!T20</f>
        <v>20863.332954545462</v>
      </c>
      <c r="G85" s="108">
        <f>Poor!T20</f>
        <v>22128.354545454553</v>
      </c>
      <c r="H85" s="108">
        <f>Middle!T20</f>
        <v>8788.1727272727312</v>
      </c>
      <c r="I85" s="108">
        <f>Rich!T20</f>
        <v>10252.868181818187</v>
      </c>
    </row>
    <row r="86" spans="1:9">
      <c r="A86" t="str">
        <f>V.Poor!Q21</f>
        <v>Cash transfer - gifts</v>
      </c>
      <c r="B86" s="108">
        <f>V.Poor!R21</f>
        <v>0</v>
      </c>
      <c r="C86" s="108">
        <f>Poor!R21</f>
        <v>5376</v>
      </c>
      <c r="D86" s="108">
        <f>Middle!R21</f>
        <v>1344</v>
      </c>
      <c r="E86" s="108">
        <f>Rich!R21</f>
        <v>18816</v>
      </c>
      <c r="F86" s="108">
        <f>V.Poor!T21</f>
        <v>0</v>
      </c>
      <c r="G86" s="108">
        <f>Poor!T21</f>
        <v>5040</v>
      </c>
      <c r="H86" s="108">
        <f>Middle!T21</f>
        <v>1260</v>
      </c>
      <c r="I86" s="108">
        <f>Rich!T21</f>
        <v>17640.000000000004</v>
      </c>
    </row>
    <row r="87" spans="1:9">
      <c r="A87" t="str">
        <f>V.Poor!Q22</f>
        <v>Other</v>
      </c>
      <c r="B87" s="108">
        <f>V.Poor!R22</f>
        <v>0</v>
      </c>
      <c r="C87" s="108">
        <f>Poor!R22</f>
        <v>0</v>
      </c>
      <c r="D87" s="108">
        <f>Middle!R22</f>
        <v>0</v>
      </c>
      <c r="E87" s="108">
        <f>Rich!R22</f>
        <v>0</v>
      </c>
      <c r="F87" s="108">
        <f>V.Poor!T22</f>
        <v>0</v>
      </c>
      <c r="G87" s="108">
        <f>Poor!T22</f>
        <v>0</v>
      </c>
      <c r="H87" s="108">
        <f>Middle!T22</f>
        <v>0</v>
      </c>
      <c r="I87" s="108">
        <f>Rich!T22</f>
        <v>0</v>
      </c>
    </row>
    <row r="88" spans="1:9">
      <c r="A88" t="str">
        <f>V.Poor!Q23</f>
        <v>TOTAL</v>
      </c>
      <c r="B88" s="108">
        <f>V.Poor!R23</f>
        <v>38183.500654221672</v>
      </c>
      <c r="C88" s="108">
        <f>Poor!R23</f>
        <v>80911.777300807051</v>
      </c>
      <c r="D88" s="108">
        <f>Middle!R23</f>
        <v>112734.24402669565</v>
      </c>
      <c r="E88" s="108">
        <f>Rich!R23</f>
        <v>458015.76939349907</v>
      </c>
      <c r="F88" s="108">
        <f>V.Poor!T23</f>
        <v>37030.464286675859</v>
      </c>
      <c r="G88" s="108">
        <f>Poor!T23</f>
        <v>76631.686578448978</v>
      </c>
      <c r="H88" s="108">
        <f>Middle!T23</f>
        <v>108069.02048237104</v>
      </c>
      <c r="I88" s="108">
        <f>Rich!T23</f>
        <v>434652.3225836294</v>
      </c>
    </row>
    <row r="89" spans="1:9">
      <c r="A89" t="str">
        <f>V.Poor!Q24</f>
        <v>Food Poverty line</v>
      </c>
      <c r="B89" s="108">
        <f>V.Poor!R24</f>
        <v>29946.919494373287</v>
      </c>
      <c r="C89" s="108">
        <f>Poor!R24</f>
        <v>29946.919494373287</v>
      </c>
      <c r="D89" s="108">
        <f>Middle!R24</f>
        <v>29946.919494373287</v>
      </c>
      <c r="E89" s="108">
        <f>Rich!R24</f>
        <v>29946.919494373287</v>
      </c>
      <c r="F89" s="108">
        <f>V.Poor!T24</f>
        <v>29946.919494373287</v>
      </c>
      <c r="G89" s="108">
        <f>Poor!T24</f>
        <v>29946.919494373287</v>
      </c>
      <c r="H89" s="108">
        <f>Middle!T24</f>
        <v>29946.919494373287</v>
      </c>
      <c r="I89" s="108">
        <f>Rich!T24</f>
        <v>29946.919494373287</v>
      </c>
    </row>
    <row r="90" spans="1:9">
      <c r="A90" s="107" t="str">
        <f>V.Poor!Q25</f>
        <v>Lower Bound Poverty line</v>
      </c>
      <c r="B90" s="108">
        <f>V.Poor!R25</f>
        <v>47026.260538266135</v>
      </c>
      <c r="C90" s="108">
        <f>Poor!R25</f>
        <v>47026.26053826612</v>
      </c>
      <c r="D90" s="108">
        <f>Middle!R25</f>
        <v>47026.26053826612</v>
      </c>
      <c r="E90" s="108">
        <f>Rich!R25</f>
        <v>47026.260538266128</v>
      </c>
      <c r="F90" s="108">
        <f>V.Poor!T25</f>
        <v>46631.699494373301</v>
      </c>
      <c r="G90" s="108">
        <f>Poor!T25</f>
        <v>46631.699494373293</v>
      </c>
      <c r="H90" s="108">
        <f>Middle!T25</f>
        <v>46631.699494373293</v>
      </c>
      <c r="I90" s="108">
        <f>Rich!T25</f>
        <v>46631.699494373286</v>
      </c>
    </row>
    <row r="91" spans="1:9">
      <c r="A91" s="107" t="str">
        <f>V.Poor!Q26</f>
        <v>Upper Bound Poverty line</v>
      </c>
      <c r="B91" s="108">
        <f>V.Poor!R26</f>
        <v>74609.847036350737</v>
      </c>
      <c r="C91" s="108">
        <f>Poor!R26</f>
        <v>74609.847036350708</v>
      </c>
      <c r="D91" s="108">
        <f>Middle!R26</f>
        <v>74609.847036350708</v>
      </c>
      <c r="E91" s="108">
        <f>Rich!R26</f>
        <v>74609.847036350722</v>
      </c>
      <c r="F91" s="108">
        <f>V.Poor!T26</f>
        <v>73578.059494373301</v>
      </c>
      <c r="G91" s="108">
        <f>Poor!T26</f>
        <v>73578.059494373301</v>
      </c>
      <c r="H91" s="108">
        <f>Middle!T26</f>
        <v>73578.059494373301</v>
      </c>
      <c r="I91" s="108">
        <f>Rich!T26</f>
        <v>73578.059494373287</v>
      </c>
    </row>
    <row r="92" spans="1:9">
      <c r="A92" s="107" t="str">
        <f>V.Poor!Q27</f>
        <v>Resilience line</v>
      </c>
      <c r="B92" s="108">
        <f>V.Poor!R27</f>
        <v>75892.388363575679</v>
      </c>
      <c r="C92" s="108">
        <f>Poor!R27</f>
        <v>78183.3508893939</v>
      </c>
      <c r="D92" s="108">
        <f>Middle!R27</f>
        <v>120366.60384463322</v>
      </c>
      <c r="E92" s="108">
        <f>Rich!R27</f>
        <v>177677.12165313645</v>
      </c>
      <c r="F92" s="108">
        <f>V.Poor!T27</f>
        <v>74830.971994373307</v>
      </c>
      <c r="G92" s="108">
        <f>Poor!T27</f>
        <v>77069.009494373298</v>
      </c>
      <c r="H92" s="108">
        <f>Middle!T27</f>
        <v>118277.75949437331</v>
      </c>
      <c r="I92" s="108">
        <f>Rich!T27</f>
        <v>174264.3094943733</v>
      </c>
    </row>
    <row r="93" spans="1:9">
      <c r="A93" t="str">
        <f>V.Poor!Q24</f>
        <v>Food Poverty line</v>
      </c>
      <c r="F93" s="108">
        <f>V.Poor!T24</f>
        <v>29946.919494373287</v>
      </c>
      <c r="G93" s="108">
        <f>Poor!T24</f>
        <v>29946.919494373287</v>
      </c>
      <c r="H93" s="108">
        <f>Middle!T24</f>
        <v>29946.919494373287</v>
      </c>
      <c r="I93" s="108">
        <f>Rich!T24</f>
        <v>29946.919494373287</v>
      </c>
    </row>
    <row r="94" spans="1:9">
      <c r="A94" t="str">
        <f>V.Poor!Q25</f>
        <v>Lower Bound Poverty line</v>
      </c>
      <c r="F94" s="108">
        <f>V.Poor!T25</f>
        <v>46631.699494373301</v>
      </c>
      <c r="G94" s="108">
        <f>Poor!T25</f>
        <v>46631.699494373293</v>
      </c>
      <c r="H94" s="108">
        <f>Middle!T25</f>
        <v>46631.699494373293</v>
      </c>
      <c r="I94" s="108">
        <f>Rich!T25</f>
        <v>46631.699494373286</v>
      </c>
    </row>
    <row r="95" spans="1:9">
      <c r="A95" t="str">
        <f>V.Poor!Q26</f>
        <v>Upper Bound Poverty line</v>
      </c>
      <c r="F95" s="108">
        <f>V.Poor!T26</f>
        <v>73578.059494373301</v>
      </c>
      <c r="G95" s="108">
        <f>Poor!T26</f>
        <v>73578.059494373301</v>
      </c>
      <c r="H95" s="108">
        <f>Middle!T26</f>
        <v>73578.059494373301</v>
      </c>
      <c r="I95" s="108">
        <f>Rich!T26</f>
        <v>73578.059494373287</v>
      </c>
    </row>
    <row r="96" spans="1:9">
      <c r="A96" t="str">
        <f>V.Poor!Q27</f>
        <v>Resilience line</v>
      </c>
      <c r="F96" s="108">
        <f>V.Poor!T27</f>
        <v>74830.971994373307</v>
      </c>
      <c r="G96" s="108">
        <f>Poor!T27</f>
        <v>77069.009494373298</v>
      </c>
      <c r="H96" s="108">
        <f>Middle!T27</f>
        <v>118277.75949437331</v>
      </c>
      <c r="I96" s="108">
        <f>Rich!T27</f>
        <v>174264.3094943733</v>
      </c>
    </row>
    <row r="98" spans="1:9">
      <c r="A98" t="s">
        <v>141</v>
      </c>
      <c r="B98">
        <f>IF(B89&gt;B$88,B89-B$88,0)</f>
        <v>0</v>
      </c>
      <c r="C98">
        <f t="shared" ref="C98:I101" si="0">IF(C89&gt;C$88,C89-C$88,0)</f>
        <v>0</v>
      </c>
      <c r="D98">
        <f t="shared" si="0"/>
        <v>0</v>
      </c>
      <c r="E98">
        <f t="shared" si="0"/>
        <v>0</v>
      </c>
      <c r="F98">
        <f t="shared" si="0"/>
        <v>0</v>
      </c>
      <c r="G98">
        <f t="shared" si="0"/>
        <v>0</v>
      </c>
      <c r="H98">
        <f t="shared" si="0"/>
        <v>0</v>
      </c>
      <c r="I98">
        <f t="shared" si="0"/>
        <v>0</v>
      </c>
    </row>
    <row r="99" spans="1:9">
      <c r="A99" t="s">
        <v>142</v>
      </c>
      <c r="B99">
        <f>IF(B90&gt;B$88,B90-B$88,0)</f>
        <v>8842.7598840444625</v>
      </c>
      <c r="C99">
        <f t="shared" si="0"/>
        <v>0</v>
      </c>
      <c r="D99">
        <f t="shared" si="0"/>
        <v>0</v>
      </c>
      <c r="E99">
        <f t="shared" si="0"/>
        <v>0</v>
      </c>
      <c r="F99">
        <f t="shared" si="0"/>
        <v>9601.2352076974421</v>
      </c>
      <c r="G99">
        <f t="shared" si="0"/>
        <v>0</v>
      </c>
      <c r="H99">
        <f t="shared" si="0"/>
        <v>0</v>
      </c>
      <c r="I99">
        <f t="shared" si="0"/>
        <v>0</v>
      </c>
    </row>
    <row r="100" spans="1:9">
      <c r="A100" t="s">
        <v>143</v>
      </c>
      <c r="B100">
        <f>IF(B91&gt;B$88,B91-B$88,0)</f>
        <v>36426.346382129064</v>
      </c>
      <c r="C100">
        <f t="shared" si="0"/>
        <v>0</v>
      </c>
      <c r="D100">
        <f t="shared" si="0"/>
        <v>0</v>
      </c>
      <c r="E100">
        <f t="shared" si="0"/>
        <v>0</v>
      </c>
      <c r="F100">
        <f t="shared" si="0"/>
        <v>36547.595207697443</v>
      </c>
      <c r="G100">
        <f t="shared" si="0"/>
        <v>0</v>
      </c>
      <c r="H100">
        <f t="shared" si="0"/>
        <v>0</v>
      </c>
      <c r="I100">
        <f t="shared" si="0"/>
        <v>0</v>
      </c>
    </row>
    <row r="101" spans="1:9">
      <c r="A101" t="s">
        <v>144</v>
      </c>
      <c r="B101">
        <f>IF(B92&gt;B$88,B92-B$88,0)</f>
        <v>37708.887709354007</v>
      </c>
      <c r="C101">
        <f t="shared" si="0"/>
        <v>0</v>
      </c>
      <c r="D101">
        <f t="shared" si="0"/>
        <v>7632.3598179375695</v>
      </c>
      <c r="E101">
        <f t="shared" si="0"/>
        <v>0</v>
      </c>
      <c r="F101">
        <f t="shared" si="0"/>
        <v>37800.507707697448</v>
      </c>
      <c r="G101">
        <f t="shared" si="0"/>
        <v>437.32291592432011</v>
      </c>
      <c r="H101">
        <f t="shared" si="0"/>
        <v>10208.739012002276</v>
      </c>
      <c r="I101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G1" zoomScale="75" workbookViewId="0">
      <selection activeCell="K63" sqref="K63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52" t="str">
        <f>Poor!A1</f>
        <v>ZALOI</v>
      </c>
      <c r="L2" s="252"/>
      <c r="M2" s="252"/>
      <c r="N2" s="252"/>
      <c r="O2" s="252"/>
      <c r="P2" s="252"/>
      <c r="Q2" s="252"/>
      <c r="R2" s="87"/>
      <c r="S2" s="87"/>
      <c r="T2" s="87"/>
      <c r="U2" s="87"/>
      <c r="V2" s="87"/>
    </row>
    <row r="3" spans="1:22" s="93" customFormat="1" ht="17">
      <c r="A3" s="90"/>
      <c r="B3" s="253" t="str">
        <f>V.Poor!A64</f>
        <v>Expenditure : Very Poor HHs</v>
      </c>
      <c r="C3" s="253"/>
      <c r="D3" s="253"/>
      <c r="E3" s="253"/>
      <c r="F3" s="90"/>
      <c r="G3" s="251" t="str">
        <f>Poor!A64</f>
        <v>Expenditure : Poor HHs</v>
      </c>
      <c r="H3" s="251"/>
      <c r="I3" s="251"/>
      <c r="J3" s="251"/>
      <c r="K3" s="89"/>
      <c r="L3" s="251" t="str">
        <f>Middle!A64</f>
        <v>Expenditure : Middle HHs</v>
      </c>
      <c r="M3" s="251"/>
      <c r="N3" s="251"/>
      <c r="O3" s="251"/>
      <c r="P3" s="251"/>
      <c r="Q3" s="91"/>
      <c r="R3" s="251" t="str">
        <f>Rich!A64</f>
        <v>Expenditure : Better-off HHs</v>
      </c>
      <c r="S3" s="251"/>
      <c r="T3" s="251"/>
      <c r="U3" s="25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1337.5451015125855</v>
      </c>
      <c r="C3" s="203">
        <f>Income!C72</f>
        <v>3118.0618548200514</v>
      </c>
      <c r="D3" s="203">
        <f>Income!D72</f>
        <v>3694.6030970263287</v>
      </c>
      <c r="E3" s="203">
        <f>Income!E72</f>
        <v>2463.542925912378</v>
      </c>
      <c r="F3" s="204">
        <f>IF(F$2&lt;=($B$2+$C$2+$D$2),IF(F$2&lt;=($B$2+$C$2),IF(F$2&lt;=$B$2,$B3,$C3),$D3),$E3)</f>
        <v>1337.5451015125855</v>
      </c>
      <c r="G3" s="204">
        <f t="shared" ref="G3:AW7" si="0">IF(G$2&lt;=($B$2+$C$2+$D$2),IF(G$2&lt;=($B$2+$C$2),IF(G$2&lt;=$B$2,$B3,$C3),$D3),$E3)</f>
        <v>1337.5451015125855</v>
      </c>
      <c r="H3" s="204">
        <f t="shared" si="0"/>
        <v>1337.5451015125855</v>
      </c>
      <c r="I3" s="204">
        <f t="shared" si="0"/>
        <v>1337.5451015125855</v>
      </c>
      <c r="J3" s="204">
        <f t="shared" si="0"/>
        <v>1337.5451015125855</v>
      </c>
      <c r="K3" s="204">
        <f t="shared" si="0"/>
        <v>1337.5451015125855</v>
      </c>
      <c r="L3" s="204">
        <f t="shared" si="0"/>
        <v>1337.5451015125855</v>
      </c>
      <c r="M3" s="204">
        <f t="shared" si="0"/>
        <v>1337.5451015125855</v>
      </c>
      <c r="N3" s="204">
        <f t="shared" si="0"/>
        <v>1337.5451015125855</v>
      </c>
      <c r="O3" s="204">
        <f t="shared" si="0"/>
        <v>1337.5451015125855</v>
      </c>
      <c r="P3" s="204">
        <f t="shared" si="0"/>
        <v>1337.5451015125855</v>
      </c>
      <c r="Q3" s="204">
        <f t="shared" si="0"/>
        <v>1337.5451015125855</v>
      </c>
      <c r="R3" s="204">
        <f t="shared" si="0"/>
        <v>1337.5451015125855</v>
      </c>
      <c r="S3" s="204">
        <f t="shared" si="0"/>
        <v>1337.5451015125855</v>
      </c>
      <c r="T3" s="204">
        <f t="shared" si="0"/>
        <v>1337.5451015125855</v>
      </c>
      <c r="U3" s="204">
        <f t="shared" si="0"/>
        <v>1337.5451015125855</v>
      </c>
      <c r="V3" s="204">
        <f t="shared" si="0"/>
        <v>1337.5451015125855</v>
      </c>
      <c r="W3" s="204">
        <f t="shared" si="0"/>
        <v>1337.5451015125855</v>
      </c>
      <c r="X3" s="204">
        <f t="shared" si="0"/>
        <v>1337.5451015125855</v>
      </c>
      <c r="Y3" s="204">
        <f t="shared" si="0"/>
        <v>1337.5451015125855</v>
      </c>
      <c r="Z3" s="204">
        <f t="shared" si="0"/>
        <v>1337.5451015125855</v>
      </c>
      <c r="AA3" s="204">
        <f t="shared" si="0"/>
        <v>1337.5451015125855</v>
      </c>
      <c r="AB3" s="204">
        <f t="shared" si="0"/>
        <v>1337.5451015125855</v>
      </c>
      <c r="AC3" s="204">
        <f t="shared" si="0"/>
        <v>1337.5451015125855</v>
      </c>
      <c r="AD3" s="204">
        <f t="shared" si="0"/>
        <v>1337.5451015125855</v>
      </c>
      <c r="AE3" s="204">
        <f t="shared" si="0"/>
        <v>1337.5451015125855</v>
      </c>
      <c r="AF3" s="204">
        <f t="shared" si="0"/>
        <v>1337.5451015125855</v>
      </c>
      <c r="AG3" s="204">
        <f t="shared" si="0"/>
        <v>1337.5451015125855</v>
      </c>
      <c r="AH3" s="204">
        <f t="shared" si="0"/>
        <v>1337.5451015125855</v>
      </c>
      <c r="AI3" s="204">
        <f t="shared" si="0"/>
        <v>1337.5451015125855</v>
      </c>
      <c r="AJ3" s="204">
        <f t="shared" si="0"/>
        <v>1337.5451015125855</v>
      </c>
      <c r="AK3" s="204">
        <f t="shared" si="0"/>
        <v>1337.5451015125855</v>
      </c>
      <c r="AL3" s="204">
        <f t="shared" si="0"/>
        <v>1337.5451015125855</v>
      </c>
      <c r="AM3" s="204">
        <f t="shared" si="0"/>
        <v>1337.5451015125855</v>
      </c>
      <c r="AN3" s="204">
        <f t="shared" si="0"/>
        <v>1337.5451015125855</v>
      </c>
      <c r="AO3" s="204">
        <f t="shared" si="0"/>
        <v>1337.5451015125855</v>
      </c>
      <c r="AP3" s="204">
        <f t="shared" si="0"/>
        <v>1337.5451015125855</v>
      </c>
      <c r="AQ3" s="204">
        <f t="shared" si="0"/>
        <v>1337.5451015125855</v>
      </c>
      <c r="AR3" s="204">
        <f t="shared" si="0"/>
        <v>1337.5451015125855</v>
      </c>
      <c r="AS3" s="204">
        <f t="shared" si="0"/>
        <v>1337.5451015125855</v>
      </c>
      <c r="AT3" s="204">
        <f t="shared" si="0"/>
        <v>1337.5451015125855</v>
      </c>
      <c r="AU3" s="204">
        <f t="shared" si="0"/>
        <v>1337.5451015125855</v>
      </c>
      <c r="AV3" s="204">
        <f t="shared" si="0"/>
        <v>1337.5451015125855</v>
      </c>
      <c r="AW3" s="204">
        <f t="shared" si="0"/>
        <v>1337.5451015125855</v>
      </c>
      <c r="AX3" s="204">
        <f t="shared" ref="AX3:BZ10" si="1">IF(AX$2&lt;=($B$2+$C$2+$D$2),IF(AX$2&lt;=($B$2+$C$2),IF(AX$2&lt;=$B$2,$B3,$C3),$D3),$E3)</f>
        <v>1337.5451015125855</v>
      </c>
      <c r="AY3" s="204">
        <f t="shared" si="1"/>
        <v>1337.5451015125855</v>
      </c>
      <c r="AZ3" s="204">
        <f t="shared" si="1"/>
        <v>1337.5451015125855</v>
      </c>
      <c r="BA3" s="204">
        <f t="shared" si="1"/>
        <v>3118.0618548200514</v>
      </c>
      <c r="BB3" s="204">
        <f t="shared" si="1"/>
        <v>3118.0618548200514</v>
      </c>
      <c r="BC3" s="204">
        <f t="shared" si="1"/>
        <v>3118.0618548200514</v>
      </c>
      <c r="BD3" s="204">
        <f t="shared" si="1"/>
        <v>3118.0618548200514</v>
      </c>
      <c r="BE3" s="204">
        <f t="shared" si="1"/>
        <v>3118.0618548200514</v>
      </c>
      <c r="BF3" s="204">
        <f t="shared" si="1"/>
        <v>3118.0618548200514</v>
      </c>
      <c r="BG3" s="204">
        <f t="shared" si="1"/>
        <v>3118.0618548200514</v>
      </c>
      <c r="BH3" s="204">
        <f t="shared" si="1"/>
        <v>3118.0618548200514</v>
      </c>
      <c r="BI3" s="204">
        <f t="shared" si="1"/>
        <v>3118.0618548200514</v>
      </c>
      <c r="BJ3" s="204">
        <f t="shared" si="1"/>
        <v>3118.0618548200514</v>
      </c>
      <c r="BK3" s="204">
        <f t="shared" si="1"/>
        <v>3118.0618548200514</v>
      </c>
      <c r="BL3" s="204">
        <f t="shared" si="1"/>
        <v>3118.0618548200514</v>
      </c>
      <c r="BM3" s="204">
        <f t="shared" si="1"/>
        <v>3118.0618548200514</v>
      </c>
      <c r="BN3" s="204">
        <f t="shared" si="1"/>
        <v>3118.0618548200514</v>
      </c>
      <c r="BO3" s="204">
        <f t="shared" si="1"/>
        <v>3118.0618548200514</v>
      </c>
      <c r="BP3" s="204">
        <f t="shared" si="1"/>
        <v>3118.0618548200514</v>
      </c>
      <c r="BQ3" s="204">
        <f t="shared" si="1"/>
        <v>3118.0618548200514</v>
      </c>
      <c r="BR3" s="204">
        <f t="shared" si="1"/>
        <v>3118.0618548200514</v>
      </c>
      <c r="BS3" s="204">
        <f t="shared" si="1"/>
        <v>3118.0618548200514</v>
      </c>
      <c r="BT3" s="204">
        <f t="shared" si="1"/>
        <v>3118.0618548200514</v>
      </c>
      <c r="BU3" s="204">
        <f t="shared" si="1"/>
        <v>3118.0618548200514</v>
      </c>
      <c r="BV3" s="204">
        <f t="shared" si="1"/>
        <v>3118.0618548200514</v>
      </c>
      <c r="BW3" s="204">
        <f t="shared" si="1"/>
        <v>3118.0618548200514</v>
      </c>
      <c r="BX3" s="204">
        <f t="shared" si="1"/>
        <v>3118.0618548200514</v>
      </c>
      <c r="BY3" s="204">
        <f t="shared" si="1"/>
        <v>3118.0618548200514</v>
      </c>
      <c r="BZ3" s="204">
        <f t="shared" si="1"/>
        <v>3694.6030970263287</v>
      </c>
      <c r="CA3" s="204">
        <f t="shared" ref="CA3:CR15" si="2">IF(CA$2&lt;=($B$2+$C$2+$D$2),IF(CA$2&lt;=($B$2+$C$2),IF(CA$2&lt;=$B$2,$B3,$C3),$D3),$E3)</f>
        <v>3694.6030970263287</v>
      </c>
      <c r="CB3" s="204">
        <f t="shared" si="2"/>
        <v>3694.6030970263287</v>
      </c>
      <c r="CC3" s="204">
        <f t="shared" si="2"/>
        <v>3694.6030970263287</v>
      </c>
      <c r="CD3" s="204">
        <f t="shared" si="2"/>
        <v>3694.6030970263287</v>
      </c>
      <c r="CE3" s="204">
        <f t="shared" si="2"/>
        <v>3694.6030970263287</v>
      </c>
      <c r="CF3" s="204">
        <f t="shared" si="2"/>
        <v>3694.6030970263287</v>
      </c>
      <c r="CG3" s="204">
        <f t="shared" si="2"/>
        <v>3694.6030970263287</v>
      </c>
      <c r="CH3" s="204">
        <f t="shared" si="2"/>
        <v>3694.6030970263287</v>
      </c>
      <c r="CI3" s="204">
        <f t="shared" si="2"/>
        <v>3694.6030970263287</v>
      </c>
      <c r="CJ3" s="204">
        <f t="shared" si="2"/>
        <v>3694.6030970263287</v>
      </c>
      <c r="CK3" s="204">
        <f t="shared" si="2"/>
        <v>3694.6030970263287</v>
      </c>
      <c r="CL3" s="204">
        <f t="shared" si="2"/>
        <v>3694.6030970263287</v>
      </c>
      <c r="CM3" s="204">
        <f t="shared" si="2"/>
        <v>3694.6030970263287</v>
      </c>
      <c r="CN3" s="204">
        <f t="shared" si="2"/>
        <v>3694.6030970263287</v>
      </c>
      <c r="CO3" s="204">
        <f t="shared" si="2"/>
        <v>3694.6030970263287</v>
      </c>
      <c r="CP3" s="204">
        <f t="shared" si="2"/>
        <v>3694.6030970263287</v>
      </c>
      <c r="CQ3" s="204">
        <f t="shared" si="2"/>
        <v>3694.6030970263287</v>
      </c>
      <c r="CR3" s="204">
        <f t="shared" si="2"/>
        <v>2463.542925912378</v>
      </c>
      <c r="CS3" s="204">
        <f t="shared" ref="CS3:DA15" si="3">IF(CS$2&lt;=($B$2+$C$2+$D$2),IF(CS$2&lt;=($B$2+$C$2),IF(CS$2&lt;=$B$2,$B3,$C3),$D3),$E3)</f>
        <v>2463.542925912378</v>
      </c>
      <c r="CT3" s="204">
        <f t="shared" si="3"/>
        <v>2463.542925912378</v>
      </c>
      <c r="CU3" s="204">
        <f t="shared" si="3"/>
        <v>2463.542925912378</v>
      </c>
      <c r="CV3" s="204">
        <f t="shared" si="3"/>
        <v>2463.542925912378</v>
      </c>
      <c r="CW3" s="204">
        <f t="shared" si="3"/>
        <v>2463.542925912378</v>
      </c>
      <c r="CX3" s="204">
        <f t="shared" si="3"/>
        <v>2463.542925912378</v>
      </c>
      <c r="CY3" s="204">
        <f t="shared" si="3"/>
        <v>2463.542925912378</v>
      </c>
      <c r="CZ3" s="204">
        <f t="shared" si="3"/>
        <v>2463.542925912378</v>
      </c>
      <c r="DA3" s="204">
        <f t="shared" si="3"/>
        <v>2463.542925912378</v>
      </c>
      <c r="DB3" s="204"/>
    </row>
    <row r="4" spans="1:106">
      <c r="A4" s="201" t="str">
        <f>Income!A73</f>
        <v>Own crops sold</v>
      </c>
      <c r="B4" s="203">
        <f>Income!B73</f>
        <v>1115.2400000000002</v>
      </c>
      <c r="C4" s="203">
        <f>Income!C73</f>
        <v>2996</v>
      </c>
      <c r="D4" s="203">
        <f>Income!D73</f>
        <v>6020</v>
      </c>
      <c r="E4" s="203">
        <f>Income!E73</f>
        <v>15516.666666666666</v>
      </c>
      <c r="F4" s="204">
        <f t="shared" ref="F4:U17" si="4">IF(F$2&lt;=($B$2+$C$2+$D$2),IF(F$2&lt;=($B$2+$C$2),IF(F$2&lt;=$B$2,$B4,$C4),$D4),$E4)</f>
        <v>1115.2400000000002</v>
      </c>
      <c r="G4" s="204">
        <f t="shared" si="0"/>
        <v>1115.2400000000002</v>
      </c>
      <c r="H4" s="204">
        <f t="shared" si="0"/>
        <v>1115.2400000000002</v>
      </c>
      <c r="I4" s="204">
        <f t="shared" si="0"/>
        <v>1115.2400000000002</v>
      </c>
      <c r="J4" s="204">
        <f t="shared" si="0"/>
        <v>1115.2400000000002</v>
      </c>
      <c r="K4" s="204">
        <f t="shared" si="0"/>
        <v>1115.2400000000002</v>
      </c>
      <c r="L4" s="204">
        <f t="shared" si="0"/>
        <v>1115.2400000000002</v>
      </c>
      <c r="M4" s="204">
        <f t="shared" si="0"/>
        <v>1115.2400000000002</v>
      </c>
      <c r="N4" s="204">
        <f t="shared" si="0"/>
        <v>1115.2400000000002</v>
      </c>
      <c r="O4" s="204">
        <f t="shared" si="0"/>
        <v>1115.2400000000002</v>
      </c>
      <c r="P4" s="204">
        <f t="shared" si="0"/>
        <v>1115.2400000000002</v>
      </c>
      <c r="Q4" s="204">
        <f t="shared" si="0"/>
        <v>1115.2400000000002</v>
      </c>
      <c r="R4" s="204">
        <f t="shared" si="0"/>
        <v>1115.2400000000002</v>
      </c>
      <c r="S4" s="204">
        <f t="shared" si="0"/>
        <v>1115.2400000000002</v>
      </c>
      <c r="T4" s="204">
        <f t="shared" si="0"/>
        <v>1115.2400000000002</v>
      </c>
      <c r="U4" s="204">
        <f t="shared" si="0"/>
        <v>1115.2400000000002</v>
      </c>
      <c r="V4" s="204">
        <f t="shared" si="0"/>
        <v>1115.2400000000002</v>
      </c>
      <c r="W4" s="204">
        <f t="shared" si="0"/>
        <v>1115.2400000000002</v>
      </c>
      <c r="X4" s="204">
        <f t="shared" si="0"/>
        <v>1115.2400000000002</v>
      </c>
      <c r="Y4" s="204">
        <f t="shared" si="0"/>
        <v>1115.2400000000002</v>
      </c>
      <c r="Z4" s="204">
        <f t="shared" si="0"/>
        <v>1115.2400000000002</v>
      </c>
      <c r="AA4" s="204">
        <f t="shared" si="0"/>
        <v>1115.2400000000002</v>
      </c>
      <c r="AB4" s="204">
        <f t="shared" si="0"/>
        <v>1115.2400000000002</v>
      </c>
      <c r="AC4" s="204">
        <f t="shared" si="0"/>
        <v>1115.2400000000002</v>
      </c>
      <c r="AD4" s="204">
        <f t="shared" si="0"/>
        <v>1115.2400000000002</v>
      </c>
      <c r="AE4" s="204">
        <f t="shared" si="0"/>
        <v>1115.2400000000002</v>
      </c>
      <c r="AF4" s="204">
        <f t="shared" si="0"/>
        <v>1115.2400000000002</v>
      </c>
      <c r="AG4" s="204">
        <f t="shared" si="0"/>
        <v>1115.2400000000002</v>
      </c>
      <c r="AH4" s="204">
        <f t="shared" si="0"/>
        <v>1115.2400000000002</v>
      </c>
      <c r="AI4" s="204">
        <f t="shared" si="0"/>
        <v>1115.2400000000002</v>
      </c>
      <c r="AJ4" s="204">
        <f t="shared" si="0"/>
        <v>1115.2400000000002</v>
      </c>
      <c r="AK4" s="204">
        <f t="shared" si="0"/>
        <v>1115.2400000000002</v>
      </c>
      <c r="AL4" s="204">
        <f t="shared" si="0"/>
        <v>1115.2400000000002</v>
      </c>
      <c r="AM4" s="204">
        <f t="shared" si="0"/>
        <v>1115.2400000000002</v>
      </c>
      <c r="AN4" s="204">
        <f t="shared" si="0"/>
        <v>1115.2400000000002</v>
      </c>
      <c r="AO4" s="204">
        <f t="shared" si="0"/>
        <v>1115.2400000000002</v>
      </c>
      <c r="AP4" s="204">
        <f t="shared" si="0"/>
        <v>1115.2400000000002</v>
      </c>
      <c r="AQ4" s="204">
        <f t="shared" si="0"/>
        <v>1115.2400000000002</v>
      </c>
      <c r="AR4" s="204">
        <f t="shared" si="0"/>
        <v>1115.2400000000002</v>
      </c>
      <c r="AS4" s="204">
        <f t="shared" si="0"/>
        <v>1115.2400000000002</v>
      </c>
      <c r="AT4" s="204">
        <f t="shared" si="0"/>
        <v>1115.2400000000002</v>
      </c>
      <c r="AU4" s="204">
        <f t="shared" si="0"/>
        <v>1115.2400000000002</v>
      </c>
      <c r="AV4" s="204">
        <f t="shared" si="0"/>
        <v>1115.2400000000002</v>
      </c>
      <c r="AW4" s="204">
        <f t="shared" si="0"/>
        <v>1115.2400000000002</v>
      </c>
      <c r="AX4" s="204">
        <f t="shared" si="1"/>
        <v>1115.2400000000002</v>
      </c>
      <c r="AY4" s="204">
        <f t="shared" si="1"/>
        <v>1115.2400000000002</v>
      </c>
      <c r="AZ4" s="204">
        <f t="shared" si="1"/>
        <v>1115.2400000000002</v>
      </c>
      <c r="BA4" s="204">
        <f t="shared" si="1"/>
        <v>2996</v>
      </c>
      <c r="BB4" s="204">
        <f t="shared" si="1"/>
        <v>2996</v>
      </c>
      <c r="BC4" s="204">
        <f t="shared" si="1"/>
        <v>2996</v>
      </c>
      <c r="BD4" s="204">
        <f t="shared" si="1"/>
        <v>2996</v>
      </c>
      <c r="BE4" s="204">
        <f t="shared" si="1"/>
        <v>2996</v>
      </c>
      <c r="BF4" s="204">
        <f t="shared" si="1"/>
        <v>2996</v>
      </c>
      <c r="BG4" s="204">
        <f t="shared" si="1"/>
        <v>2996</v>
      </c>
      <c r="BH4" s="204">
        <f t="shared" si="1"/>
        <v>2996</v>
      </c>
      <c r="BI4" s="204">
        <f t="shared" si="1"/>
        <v>2996</v>
      </c>
      <c r="BJ4" s="204">
        <f t="shared" si="1"/>
        <v>2996</v>
      </c>
      <c r="BK4" s="204">
        <f t="shared" si="1"/>
        <v>2996</v>
      </c>
      <c r="BL4" s="204">
        <f t="shared" si="1"/>
        <v>2996</v>
      </c>
      <c r="BM4" s="204">
        <f t="shared" si="1"/>
        <v>2996</v>
      </c>
      <c r="BN4" s="204">
        <f t="shared" si="1"/>
        <v>2996</v>
      </c>
      <c r="BO4" s="204">
        <f t="shared" si="1"/>
        <v>2996</v>
      </c>
      <c r="BP4" s="204">
        <f t="shared" si="1"/>
        <v>2996</v>
      </c>
      <c r="BQ4" s="204">
        <f t="shared" si="1"/>
        <v>2996</v>
      </c>
      <c r="BR4" s="204">
        <f t="shared" si="1"/>
        <v>2996</v>
      </c>
      <c r="BS4" s="204">
        <f t="shared" si="1"/>
        <v>2996</v>
      </c>
      <c r="BT4" s="204">
        <f t="shared" si="1"/>
        <v>2996</v>
      </c>
      <c r="BU4" s="204">
        <f t="shared" si="1"/>
        <v>2996</v>
      </c>
      <c r="BV4" s="204">
        <f t="shared" si="1"/>
        <v>2996</v>
      </c>
      <c r="BW4" s="204">
        <f t="shared" si="1"/>
        <v>2996</v>
      </c>
      <c r="BX4" s="204">
        <f t="shared" si="1"/>
        <v>2996</v>
      </c>
      <c r="BY4" s="204">
        <f t="shared" si="1"/>
        <v>2996</v>
      </c>
      <c r="BZ4" s="204">
        <f t="shared" si="1"/>
        <v>6020</v>
      </c>
      <c r="CA4" s="204">
        <f t="shared" si="2"/>
        <v>6020</v>
      </c>
      <c r="CB4" s="204">
        <f t="shared" si="2"/>
        <v>6020</v>
      </c>
      <c r="CC4" s="204">
        <f t="shared" si="2"/>
        <v>6020</v>
      </c>
      <c r="CD4" s="204">
        <f t="shared" si="2"/>
        <v>6020</v>
      </c>
      <c r="CE4" s="204">
        <f t="shared" si="2"/>
        <v>6020</v>
      </c>
      <c r="CF4" s="204">
        <f t="shared" si="2"/>
        <v>6020</v>
      </c>
      <c r="CG4" s="204">
        <f t="shared" si="2"/>
        <v>6020</v>
      </c>
      <c r="CH4" s="204">
        <f t="shared" si="2"/>
        <v>6020</v>
      </c>
      <c r="CI4" s="204">
        <f t="shared" si="2"/>
        <v>6020</v>
      </c>
      <c r="CJ4" s="204">
        <f t="shared" si="2"/>
        <v>6020</v>
      </c>
      <c r="CK4" s="204">
        <f t="shared" si="2"/>
        <v>6020</v>
      </c>
      <c r="CL4" s="204">
        <f t="shared" si="2"/>
        <v>6020</v>
      </c>
      <c r="CM4" s="204">
        <f t="shared" si="2"/>
        <v>6020</v>
      </c>
      <c r="CN4" s="204">
        <f t="shared" si="2"/>
        <v>6020</v>
      </c>
      <c r="CO4" s="204">
        <f t="shared" si="2"/>
        <v>6020</v>
      </c>
      <c r="CP4" s="204">
        <f t="shared" si="2"/>
        <v>6020</v>
      </c>
      <c r="CQ4" s="204">
        <f t="shared" si="2"/>
        <v>6020</v>
      </c>
      <c r="CR4" s="204">
        <f t="shared" si="2"/>
        <v>15516.666666666666</v>
      </c>
      <c r="CS4" s="204">
        <f t="shared" si="3"/>
        <v>15516.666666666666</v>
      </c>
      <c r="CT4" s="204">
        <f t="shared" si="3"/>
        <v>15516.666666666666</v>
      </c>
      <c r="CU4" s="204">
        <f t="shared" si="3"/>
        <v>15516.666666666666</v>
      </c>
      <c r="CV4" s="204">
        <f t="shared" si="3"/>
        <v>15516.666666666666</v>
      </c>
      <c r="CW4" s="204">
        <f t="shared" si="3"/>
        <v>15516.666666666666</v>
      </c>
      <c r="CX4" s="204">
        <f t="shared" si="3"/>
        <v>15516.666666666666</v>
      </c>
      <c r="CY4" s="204">
        <f t="shared" si="3"/>
        <v>15516.666666666666</v>
      </c>
      <c r="CZ4" s="204">
        <f t="shared" si="3"/>
        <v>15516.666666666666</v>
      </c>
      <c r="DA4" s="204">
        <f t="shared" si="3"/>
        <v>15516.666666666666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178.23974005121067</v>
      </c>
      <c r="D5" s="203">
        <f>Income!D74</f>
        <v>401.34135855546003</v>
      </c>
      <c r="E5" s="203">
        <f>Income!E74</f>
        <v>1691.656770616976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178.23974005121067</v>
      </c>
      <c r="BB5" s="204">
        <f t="shared" si="1"/>
        <v>178.23974005121067</v>
      </c>
      <c r="BC5" s="204">
        <f t="shared" si="1"/>
        <v>178.23974005121067</v>
      </c>
      <c r="BD5" s="204">
        <f t="shared" si="1"/>
        <v>178.23974005121067</v>
      </c>
      <c r="BE5" s="204">
        <f t="shared" si="1"/>
        <v>178.23974005121067</v>
      </c>
      <c r="BF5" s="204">
        <f t="shared" si="1"/>
        <v>178.23974005121067</v>
      </c>
      <c r="BG5" s="204">
        <f t="shared" si="1"/>
        <v>178.23974005121067</v>
      </c>
      <c r="BH5" s="204">
        <f t="shared" si="1"/>
        <v>178.23974005121067</v>
      </c>
      <c r="BI5" s="204">
        <f t="shared" si="1"/>
        <v>178.23974005121067</v>
      </c>
      <c r="BJ5" s="204">
        <f t="shared" si="1"/>
        <v>178.23974005121067</v>
      </c>
      <c r="BK5" s="204">
        <f t="shared" si="1"/>
        <v>178.23974005121067</v>
      </c>
      <c r="BL5" s="204">
        <f t="shared" si="1"/>
        <v>178.23974005121067</v>
      </c>
      <c r="BM5" s="204">
        <f t="shared" si="1"/>
        <v>178.23974005121067</v>
      </c>
      <c r="BN5" s="204">
        <f t="shared" si="1"/>
        <v>178.23974005121067</v>
      </c>
      <c r="BO5" s="204">
        <f t="shared" si="1"/>
        <v>178.23974005121067</v>
      </c>
      <c r="BP5" s="204">
        <f t="shared" si="1"/>
        <v>178.23974005121067</v>
      </c>
      <c r="BQ5" s="204">
        <f t="shared" si="1"/>
        <v>178.23974005121067</v>
      </c>
      <c r="BR5" s="204">
        <f t="shared" si="1"/>
        <v>178.23974005121067</v>
      </c>
      <c r="BS5" s="204">
        <f t="shared" si="1"/>
        <v>178.23974005121067</v>
      </c>
      <c r="BT5" s="204">
        <f t="shared" si="1"/>
        <v>178.23974005121067</v>
      </c>
      <c r="BU5" s="204">
        <f t="shared" si="1"/>
        <v>178.23974005121067</v>
      </c>
      <c r="BV5" s="204">
        <f t="shared" si="1"/>
        <v>178.23974005121067</v>
      </c>
      <c r="BW5" s="204">
        <f t="shared" si="1"/>
        <v>178.23974005121067</v>
      </c>
      <c r="BX5" s="204">
        <f t="shared" si="1"/>
        <v>178.23974005121067</v>
      </c>
      <c r="BY5" s="204">
        <f t="shared" si="1"/>
        <v>178.23974005121067</v>
      </c>
      <c r="BZ5" s="204">
        <f t="shared" si="1"/>
        <v>401.34135855546003</v>
      </c>
      <c r="CA5" s="204">
        <f t="shared" si="2"/>
        <v>401.34135855546003</v>
      </c>
      <c r="CB5" s="204">
        <f t="shared" si="2"/>
        <v>401.34135855546003</v>
      </c>
      <c r="CC5" s="204">
        <f t="shared" si="2"/>
        <v>401.34135855546003</v>
      </c>
      <c r="CD5" s="204">
        <f t="shared" si="2"/>
        <v>401.34135855546003</v>
      </c>
      <c r="CE5" s="204">
        <f t="shared" si="2"/>
        <v>401.34135855546003</v>
      </c>
      <c r="CF5" s="204">
        <f t="shared" si="2"/>
        <v>401.34135855546003</v>
      </c>
      <c r="CG5" s="204">
        <f t="shared" si="2"/>
        <v>401.34135855546003</v>
      </c>
      <c r="CH5" s="204">
        <f t="shared" si="2"/>
        <v>401.34135855546003</v>
      </c>
      <c r="CI5" s="204">
        <f t="shared" si="2"/>
        <v>401.34135855546003</v>
      </c>
      <c r="CJ5" s="204">
        <f t="shared" si="2"/>
        <v>401.34135855546003</v>
      </c>
      <c r="CK5" s="204">
        <f t="shared" si="2"/>
        <v>401.34135855546003</v>
      </c>
      <c r="CL5" s="204">
        <f t="shared" si="2"/>
        <v>401.34135855546003</v>
      </c>
      <c r="CM5" s="204">
        <f t="shared" si="2"/>
        <v>401.34135855546003</v>
      </c>
      <c r="CN5" s="204">
        <f t="shared" si="2"/>
        <v>401.34135855546003</v>
      </c>
      <c r="CO5" s="204">
        <f t="shared" si="2"/>
        <v>401.34135855546003</v>
      </c>
      <c r="CP5" s="204">
        <f t="shared" si="2"/>
        <v>401.34135855546003</v>
      </c>
      <c r="CQ5" s="204">
        <f t="shared" si="2"/>
        <v>401.34135855546003</v>
      </c>
      <c r="CR5" s="204">
        <f t="shared" si="2"/>
        <v>1691.656770616976</v>
      </c>
      <c r="CS5" s="204">
        <f t="shared" si="3"/>
        <v>1691.656770616976</v>
      </c>
      <c r="CT5" s="204">
        <f t="shared" si="3"/>
        <v>1691.656770616976</v>
      </c>
      <c r="CU5" s="204">
        <f t="shared" si="3"/>
        <v>1691.656770616976</v>
      </c>
      <c r="CV5" s="204">
        <f t="shared" si="3"/>
        <v>1691.656770616976</v>
      </c>
      <c r="CW5" s="204">
        <f t="shared" si="3"/>
        <v>1691.656770616976</v>
      </c>
      <c r="CX5" s="204">
        <f t="shared" si="3"/>
        <v>1691.656770616976</v>
      </c>
      <c r="CY5" s="204">
        <f t="shared" si="3"/>
        <v>1691.656770616976</v>
      </c>
      <c r="CZ5" s="204">
        <f t="shared" si="3"/>
        <v>1691.656770616976</v>
      </c>
      <c r="DA5" s="204">
        <f t="shared" si="3"/>
        <v>1691.656770616976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2240</v>
      </c>
      <c r="D7" s="203">
        <f>Income!D76</f>
        <v>9856</v>
      </c>
      <c r="E7" s="203">
        <f>Income!E76</f>
        <v>32862.666666666664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2240</v>
      </c>
      <c r="BB7" s="204">
        <f t="shared" si="5"/>
        <v>2240</v>
      </c>
      <c r="BC7" s="204">
        <f t="shared" si="5"/>
        <v>2240</v>
      </c>
      <c r="BD7" s="204">
        <f t="shared" si="5"/>
        <v>2240</v>
      </c>
      <c r="BE7" s="204">
        <f t="shared" si="5"/>
        <v>2240</v>
      </c>
      <c r="BF7" s="204">
        <f t="shared" si="5"/>
        <v>2240</v>
      </c>
      <c r="BG7" s="204">
        <f t="shared" si="5"/>
        <v>2240</v>
      </c>
      <c r="BH7" s="204">
        <f t="shared" si="5"/>
        <v>2240</v>
      </c>
      <c r="BI7" s="204">
        <f t="shared" si="5"/>
        <v>2240</v>
      </c>
      <c r="BJ7" s="204">
        <f t="shared" si="5"/>
        <v>2240</v>
      </c>
      <c r="BK7" s="204">
        <f t="shared" si="1"/>
        <v>2240</v>
      </c>
      <c r="BL7" s="204">
        <f t="shared" si="1"/>
        <v>2240</v>
      </c>
      <c r="BM7" s="204">
        <f t="shared" si="1"/>
        <v>2240</v>
      </c>
      <c r="BN7" s="204">
        <f t="shared" si="1"/>
        <v>2240</v>
      </c>
      <c r="BO7" s="204">
        <f t="shared" si="1"/>
        <v>2240</v>
      </c>
      <c r="BP7" s="204">
        <f t="shared" si="1"/>
        <v>2240</v>
      </c>
      <c r="BQ7" s="204">
        <f t="shared" si="1"/>
        <v>2240</v>
      </c>
      <c r="BR7" s="204">
        <f t="shared" si="1"/>
        <v>2240</v>
      </c>
      <c r="BS7" s="204">
        <f t="shared" si="1"/>
        <v>2240</v>
      </c>
      <c r="BT7" s="204">
        <f t="shared" si="1"/>
        <v>2240</v>
      </c>
      <c r="BU7" s="204">
        <f t="shared" si="1"/>
        <v>2240</v>
      </c>
      <c r="BV7" s="204">
        <f t="shared" si="1"/>
        <v>2240</v>
      </c>
      <c r="BW7" s="204">
        <f t="shared" si="1"/>
        <v>2240</v>
      </c>
      <c r="BX7" s="204">
        <f t="shared" si="1"/>
        <v>2240</v>
      </c>
      <c r="BY7" s="204">
        <f t="shared" si="1"/>
        <v>2240</v>
      </c>
      <c r="BZ7" s="204">
        <f t="shared" si="1"/>
        <v>9856</v>
      </c>
      <c r="CA7" s="204">
        <f t="shared" si="2"/>
        <v>9856</v>
      </c>
      <c r="CB7" s="204">
        <f t="shared" si="2"/>
        <v>9856</v>
      </c>
      <c r="CC7" s="204">
        <f t="shared" si="2"/>
        <v>9856</v>
      </c>
      <c r="CD7" s="204">
        <f t="shared" si="2"/>
        <v>9856</v>
      </c>
      <c r="CE7" s="204">
        <f t="shared" si="2"/>
        <v>9856</v>
      </c>
      <c r="CF7" s="204">
        <f t="shared" si="2"/>
        <v>9856</v>
      </c>
      <c r="CG7" s="204">
        <f t="shared" si="2"/>
        <v>9856</v>
      </c>
      <c r="CH7" s="204">
        <f t="shared" si="2"/>
        <v>9856</v>
      </c>
      <c r="CI7" s="204">
        <f t="shared" si="2"/>
        <v>9856</v>
      </c>
      <c r="CJ7" s="204">
        <f t="shared" si="2"/>
        <v>9856</v>
      </c>
      <c r="CK7" s="204">
        <f t="shared" si="2"/>
        <v>9856</v>
      </c>
      <c r="CL7" s="204">
        <f t="shared" si="2"/>
        <v>9856</v>
      </c>
      <c r="CM7" s="204">
        <f t="shared" si="2"/>
        <v>9856</v>
      </c>
      <c r="CN7" s="204">
        <f t="shared" si="2"/>
        <v>9856</v>
      </c>
      <c r="CO7" s="204">
        <f t="shared" si="2"/>
        <v>9856</v>
      </c>
      <c r="CP7" s="204">
        <f t="shared" si="2"/>
        <v>9856</v>
      </c>
      <c r="CQ7" s="204">
        <f t="shared" si="2"/>
        <v>9856</v>
      </c>
      <c r="CR7" s="204">
        <f t="shared" si="2"/>
        <v>32862.666666666664</v>
      </c>
      <c r="CS7" s="204">
        <f t="shared" si="3"/>
        <v>32862.666666666664</v>
      </c>
      <c r="CT7" s="204">
        <f t="shared" si="3"/>
        <v>32862.666666666664</v>
      </c>
      <c r="CU7" s="204">
        <f t="shared" si="3"/>
        <v>32862.666666666664</v>
      </c>
      <c r="CV7" s="204">
        <f t="shared" si="3"/>
        <v>32862.666666666664</v>
      </c>
      <c r="CW7" s="204">
        <f t="shared" si="3"/>
        <v>32862.666666666664</v>
      </c>
      <c r="CX7" s="204">
        <f t="shared" si="3"/>
        <v>32862.666666666664</v>
      </c>
      <c r="CY7" s="204">
        <f t="shared" si="3"/>
        <v>32862.666666666664</v>
      </c>
      <c r="CZ7" s="204">
        <f t="shared" si="3"/>
        <v>32862.666666666664</v>
      </c>
      <c r="DA7" s="204">
        <f t="shared" si="3"/>
        <v>32862.666666666664</v>
      </c>
      <c r="DB7" s="204"/>
    </row>
    <row r="8" spans="1:106">
      <c r="A8" s="201" t="str">
        <f>Income!A77</f>
        <v>Wild foods consumed and sold</v>
      </c>
      <c r="B8" s="203">
        <f>Income!B77</f>
        <v>1390.2461967551797</v>
      </c>
      <c r="C8" s="203">
        <f>Income!C77</f>
        <v>2609.6000000000008</v>
      </c>
      <c r="D8" s="203">
        <f>Income!D77</f>
        <v>0</v>
      </c>
      <c r="E8" s="203">
        <f>Income!E77</f>
        <v>0</v>
      </c>
      <c r="F8" s="204">
        <f t="shared" si="4"/>
        <v>1390.2461967551797</v>
      </c>
      <c r="G8" s="204">
        <f t="shared" si="4"/>
        <v>1390.2461967551797</v>
      </c>
      <c r="H8" s="204">
        <f t="shared" si="4"/>
        <v>1390.2461967551797</v>
      </c>
      <c r="I8" s="204">
        <f t="shared" si="4"/>
        <v>1390.2461967551797</v>
      </c>
      <c r="J8" s="204">
        <f t="shared" si="4"/>
        <v>1390.2461967551797</v>
      </c>
      <c r="K8" s="204">
        <f t="shared" si="4"/>
        <v>1390.2461967551797</v>
      </c>
      <c r="L8" s="204">
        <f t="shared" si="4"/>
        <v>1390.2461967551797</v>
      </c>
      <c r="M8" s="204">
        <f t="shared" si="4"/>
        <v>1390.2461967551797</v>
      </c>
      <c r="N8" s="204">
        <f t="shared" si="4"/>
        <v>1390.2461967551797</v>
      </c>
      <c r="O8" s="204">
        <f t="shared" si="4"/>
        <v>1390.2461967551797</v>
      </c>
      <c r="P8" s="204">
        <f t="shared" si="4"/>
        <v>1390.2461967551797</v>
      </c>
      <c r="Q8" s="204">
        <f t="shared" si="4"/>
        <v>1390.2461967551797</v>
      </c>
      <c r="R8" s="204">
        <f t="shared" si="4"/>
        <v>1390.2461967551797</v>
      </c>
      <c r="S8" s="204">
        <f t="shared" si="4"/>
        <v>1390.2461967551797</v>
      </c>
      <c r="T8" s="204">
        <f t="shared" si="4"/>
        <v>1390.2461967551797</v>
      </c>
      <c r="U8" s="204">
        <f t="shared" si="4"/>
        <v>1390.2461967551797</v>
      </c>
      <c r="V8" s="204">
        <f t="shared" ref="V8:AK18" si="6">IF(V$2&lt;=($B$2+$C$2+$D$2),IF(V$2&lt;=($B$2+$C$2),IF(V$2&lt;=$B$2,$B8,$C8),$D8),$E8)</f>
        <v>1390.2461967551797</v>
      </c>
      <c r="W8" s="204">
        <f t="shared" si="6"/>
        <v>1390.2461967551797</v>
      </c>
      <c r="X8" s="204">
        <f t="shared" si="6"/>
        <v>1390.2461967551797</v>
      </c>
      <c r="Y8" s="204">
        <f t="shared" si="6"/>
        <v>1390.2461967551797</v>
      </c>
      <c r="Z8" s="204">
        <f t="shared" si="6"/>
        <v>1390.2461967551797</v>
      </c>
      <c r="AA8" s="204">
        <f t="shared" si="6"/>
        <v>1390.2461967551797</v>
      </c>
      <c r="AB8" s="204">
        <f t="shared" si="6"/>
        <v>1390.2461967551797</v>
      </c>
      <c r="AC8" s="204">
        <f t="shared" si="6"/>
        <v>1390.2461967551797</v>
      </c>
      <c r="AD8" s="204">
        <f t="shared" si="6"/>
        <v>1390.2461967551797</v>
      </c>
      <c r="AE8" s="204">
        <f t="shared" si="6"/>
        <v>1390.2461967551797</v>
      </c>
      <c r="AF8" s="204">
        <f t="shared" si="6"/>
        <v>1390.2461967551797</v>
      </c>
      <c r="AG8" s="204">
        <f t="shared" si="6"/>
        <v>1390.2461967551797</v>
      </c>
      <c r="AH8" s="204">
        <f t="shared" si="6"/>
        <v>1390.2461967551797</v>
      </c>
      <c r="AI8" s="204">
        <f t="shared" si="6"/>
        <v>1390.2461967551797</v>
      </c>
      <c r="AJ8" s="204">
        <f t="shared" si="6"/>
        <v>1390.2461967551797</v>
      </c>
      <c r="AK8" s="204">
        <f t="shared" si="6"/>
        <v>1390.2461967551797</v>
      </c>
      <c r="AL8" s="204">
        <f t="shared" ref="AL8:BA18" si="7">IF(AL$2&lt;=($B$2+$C$2+$D$2),IF(AL$2&lt;=($B$2+$C$2),IF(AL$2&lt;=$B$2,$B8,$C8),$D8),$E8)</f>
        <v>1390.2461967551797</v>
      </c>
      <c r="AM8" s="204">
        <f t="shared" si="7"/>
        <v>1390.2461967551797</v>
      </c>
      <c r="AN8" s="204">
        <f t="shared" si="7"/>
        <v>1390.2461967551797</v>
      </c>
      <c r="AO8" s="204">
        <f t="shared" si="7"/>
        <v>1390.2461967551797</v>
      </c>
      <c r="AP8" s="204">
        <f t="shared" si="7"/>
        <v>1390.2461967551797</v>
      </c>
      <c r="AQ8" s="204">
        <f t="shared" si="7"/>
        <v>1390.2461967551797</v>
      </c>
      <c r="AR8" s="204">
        <f t="shared" si="7"/>
        <v>1390.2461967551797</v>
      </c>
      <c r="AS8" s="204">
        <f t="shared" si="7"/>
        <v>1390.2461967551797</v>
      </c>
      <c r="AT8" s="204">
        <f t="shared" si="7"/>
        <v>1390.2461967551797</v>
      </c>
      <c r="AU8" s="204">
        <f t="shared" si="7"/>
        <v>1390.2461967551797</v>
      </c>
      <c r="AV8" s="204">
        <f t="shared" si="7"/>
        <v>1390.2461967551797</v>
      </c>
      <c r="AW8" s="204">
        <f t="shared" si="7"/>
        <v>1390.2461967551797</v>
      </c>
      <c r="AX8" s="204">
        <f t="shared" si="7"/>
        <v>1390.2461967551797</v>
      </c>
      <c r="AY8" s="204">
        <f t="shared" si="7"/>
        <v>1390.2461967551797</v>
      </c>
      <c r="AZ8" s="204">
        <f t="shared" si="7"/>
        <v>1390.2461967551797</v>
      </c>
      <c r="BA8" s="204">
        <f t="shared" si="7"/>
        <v>2609.6000000000008</v>
      </c>
      <c r="BB8" s="204">
        <f t="shared" si="5"/>
        <v>2609.6000000000008</v>
      </c>
      <c r="BC8" s="204">
        <f t="shared" si="5"/>
        <v>2609.6000000000008</v>
      </c>
      <c r="BD8" s="204">
        <f t="shared" si="5"/>
        <v>2609.6000000000008</v>
      </c>
      <c r="BE8" s="204">
        <f t="shared" si="5"/>
        <v>2609.6000000000008</v>
      </c>
      <c r="BF8" s="204">
        <f t="shared" si="5"/>
        <v>2609.6000000000008</v>
      </c>
      <c r="BG8" s="204">
        <f t="shared" si="5"/>
        <v>2609.6000000000008</v>
      </c>
      <c r="BH8" s="204">
        <f t="shared" si="5"/>
        <v>2609.6000000000008</v>
      </c>
      <c r="BI8" s="204">
        <f t="shared" si="5"/>
        <v>2609.6000000000008</v>
      </c>
      <c r="BJ8" s="204">
        <f t="shared" si="5"/>
        <v>2609.6000000000008</v>
      </c>
      <c r="BK8" s="204">
        <f t="shared" si="1"/>
        <v>2609.6000000000008</v>
      </c>
      <c r="BL8" s="204">
        <f t="shared" si="1"/>
        <v>2609.6000000000008</v>
      </c>
      <c r="BM8" s="204">
        <f t="shared" si="1"/>
        <v>2609.6000000000008</v>
      </c>
      <c r="BN8" s="204">
        <f t="shared" si="1"/>
        <v>2609.6000000000008</v>
      </c>
      <c r="BO8" s="204">
        <f t="shared" si="1"/>
        <v>2609.6000000000008</v>
      </c>
      <c r="BP8" s="204">
        <f t="shared" si="1"/>
        <v>2609.6000000000008</v>
      </c>
      <c r="BQ8" s="204">
        <f t="shared" si="1"/>
        <v>2609.6000000000008</v>
      </c>
      <c r="BR8" s="204">
        <f t="shared" si="1"/>
        <v>2609.6000000000008</v>
      </c>
      <c r="BS8" s="204">
        <f t="shared" si="1"/>
        <v>2609.6000000000008</v>
      </c>
      <c r="BT8" s="204">
        <f t="shared" si="1"/>
        <v>2609.6000000000008</v>
      </c>
      <c r="BU8" s="204">
        <f t="shared" si="1"/>
        <v>2609.6000000000008</v>
      </c>
      <c r="BV8" s="204">
        <f t="shared" si="1"/>
        <v>2609.6000000000008</v>
      </c>
      <c r="BW8" s="204">
        <f t="shared" si="1"/>
        <v>2609.6000000000008</v>
      </c>
      <c r="BX8" s="204">
        <f t="shared" si="1"/>
        <v>2609.6000000000008</v>
      </c>
      <c r="BY8" s="204">
        <f t="shared" si="1"/>
        <v>2609.6000000000008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8019.2154696132602</v>
      </c>
      <c r="C9" s="203">
        <f>Income!C78</f>
        <v>16381.670718232048</v>
      </c>
      <c r="D9" s="203">
        <f>Income!D78</f>
        <v>898.47513812154705</v>
      </c>
      <c r="E9" s="203">
        <f>Income!E78</f>
        <v>0</v>
      </c>
      <c r="F9" s="204">
        <f t="shared" si="4"/>
        <v>8019.2154696132602</v>
      </c>
      <c r="G9" s="204">
        <f t="shared" si="4"/>
        <v>8019.2154696132602</v>
      </c>
      <c r="H9" s="204">
        <f t="shared" si="4"/>
        <v>8019.2154696132602</v>
      </c>
      <c r="I9" s="204">
        <f t="shared" si="4"/>
        <v>8019.2154696132602</v>
      </c>
      <c r="J9" s="204">
        <f t="shared" si="4"/>
        <v>8019.2154696132602</v>
      </c>
      <c r="K9" s="204">
        <f t="shared" si="4"/>
        <v>8019.2154696132602</v>
      </c>
      <c r="L9" s="204">
        <f t="shared" si="4"/>
        <v>8019.2154696132602</v>
      </c>
      <c r="M9" s="204">
        <f t="shared" si="4"/>
        <v>8019.2154696132602</v>
      </c>
      <c r="N9" s="204">
        <f t="shared" si="4"/>
        <v>8019.2154696132602</v>
      </c>
      <c r="O9" s="204">
        <f t="shared" si="4"/>
        <v>8019.2154696132602</v>
      </c>
      <c r="P9" s="204">
        <f t="shared" si="4"/>
        <v>8019.2154696132602</v>
      </c>
      <c r="Q9" s="204">
        <f t="shared" si="4"/>
        <v>8019.2154696132602</v>
      </c>
      <c r="R9" s="204">
        <f t="shared" si="4"/>
        <v>8019.2154696132602</v>
      </c>
      <c r="S9" s="204">
        <f t="shared" si="4"/>
        <v>8019.2154696132602</v>
      </c>
      <c r="T9" s="204">
        <f t="shared" si="4"/>
        <v>8019.2154696132602</v>
      </c>
      <c r="U9" s="204">
        <f t="shared" si="4"/>
        <v>8019.2154696132602</v>
      </c>
      <c r="V9" s="204">
        <f t="shared" si="6"/>
        <v>8019.2154696132602</v>
      </c>
      <c r="W9" s="204">
        <f t="shared" si="6"/>
        <v>8019.2154696132602</v>
      </c>
      <c r="X9" s="204">
        <f t="shared" si="6"/>
        <v>8019.2154696132602</v>
      </c>
      <c r="Y9" s="204">
        <f t="shared" si="6"/>
        <v>8019.2154696132602</v>
      </c>
      <c r="Z9" s="204">
        <f t="shared" si="6"/>
        <v>8019.2154696132602</v>
      </c>
      <c r="AA9" s="204">
        <f t="shared" si="6"/>
        <v>8019.2154696132602</v>
      </c>
      <c r="AB9" s="204">
        <f t="shared" si="6"/>
        <v>8019.2154696132602</v>
      </c>
      <c r="AC9" s="204">
        <f t="shared" si="6"/>
        <v>8019.2154696132602</v>
      </c>
      <c r="AD9" s="204">
        <f t="shared" si="6"/>
        <v>8019.2154696132602</v>
      </c>
      <c r="AE9" s="204">
        <f t="shared" si="6"/>
        <v>8019.2154696132602</v>
      </c>
      <c r="AF9" s="204">
        <f t="shared" si="6"/>
        <v>8019.2154696132602</v>
      </c>
      <c r="AG9" s="204">
        <f t="shared" si="6"/>
        <v>8019.2154696132602</v>
      </c>
      <c r="AH9" s="204">
        <f t="shared" si="6"/>
        <v>8019.2154696132602</v>
      </c>
      <c r="AI9" s="204">
        <f t="shared" si="6"/>
        <v>8019.2154696132602</v>
      </c>
      <c r="AJ9" s="204">
        <f t="shared" si="6"/>
        <v>8019.2154696132602</v>
      </c>
      <c r="AK9" s="204">
        <f t="shared" si="6"/>
        <v>8019.2154696132602</v>
      </c>
      <c r="AL9" s="204">
        <f t="shared" si="7"/>
        <v>8019.2154696132602</v>
      </c>
      <c r="AM9" s="204">
        <f t="shared" si="7"/>
        <v>8019.2154696132602</v>
      </c>
      <c r="AN9" s="204">
        <f t="shared" si="7"/>
        <v>8019.2154696132602</v>
      </c>
      <c r="AO9" s="204">
        <f t="shared" si="7"/>
        <v>8019.2154696132602</v>
      </c>
      <c r="AP9" s="204">
        <f t="shared" si="7"/>
        <v>8019.2154696132602</v>
      </c>
      <c r="AQ9" s="204">
        <f t="shared" si="7"/>
        <v>8019.2154696132602</v>
      </c>
      <c r="AR9" s="204">
        <f t="shared" si="7"/>
        <v>8019.2154696132602</v>
      </c>
      <c r="AS9" s="204">
        <f t="shared" si="7"/>
        <v>8019.2154696132602</v>
      </c>
      <c r="AT9" s="204">
        <f t="shared" si="7"/>
        <v>8019.2154696132602</v>
      </c>
      <c r="AU9" s="204">
        <f t="shared" si="7"/>
        <v>8019.2154696132602</v>
      </c>
      <c r="AV9" s="204">
        <f t="shared" si="7"/>
        <v>8019.2154696132602</v>
      </c>
      <c r="AW9" s="204">
        <f t="shared" si="7"/>
        <v>8019.2154696132602</v>
      </c>
      <c r="AX9" s="204">
        <f t="shared" si="1"/>
        <v>8019.2154696132602</v>
      </c>
      <c r="AY9" s="204">
        <f t="shared" si="1"/>
        <v>8019.2154696132602</v>
      </c>
      <c r="AZ9" s="204">
        <f t="shared" si="1"/>
        <v>8019.2154696132602</v>
      </c>
      <c r="BA9" s="204">
        <f t="shared" si="1"/>
        <v>16381.670718232048</v>
      </c>
      <c r="BB9" s="204">
        <f t="shared" si="1"/>
        <v>16381.670718232048</v>
      </c>
      <c r="BC9" s="204">
        <f t="shared" si="1"/>
        <v>16381.670718232048</v>
      </c>
      <c r="BD9" s="204">
        <f t="shared" si="1"/>
        <v>16381.670718232048</v>
      </c>
      <c r="BE9" s="204">
        <f t="shared" si="1"/>
        <v>16381.670718232048</v>
      </c>
      <c r="BF9" s="204">
        <f t="shared" si="1"/>
        <v>16381.670718232048</v>
      </c>
      <c r="BG9" s="204">
        <f t="shared" si="1"/>
        <v>16381.670718232048</v>
      </c>
      <c r="BH9" s="204">
        <f t="shared" si="1"/>
        <v>16381.670718232048</v>
      </c>
      <c r="BI9" s="204">
        <f t="shared" si="1"/>
        <v>16381.670718232048</v>
      </c>
      <c r="BJ9" s="204">
        <f t="shared" si="1"/>
        <v>16381.670718232048</v>
      </c>
      <c r="BK9" s="204">
        <f t="shared" si="1"/>
        <v>16381.670718232048</v>
      </c>
      <c r="BL9" s="204">
        <f t="shared" si="1"/>
        <v>16381.670718232048</v>
      </c>
      <c r="BM9" s="204">
        <f t="shared" si="1"/>
        <v>16381.670718232048</v>
      </c>
      <c r="BN9" s="204">
        <f t="shared" si="1"/>
        <v>16381.670718232048</v>
      </c>
      <c r="BO9" s="204">
        <f t="shared" si="1"/>
        <v>16381.670718232048</v>
      </c>
      <c r="BP9" s="204">
        <f t="shared" si="1"/>
        <v>16381.670718232048</v>
      </c>
      <c r="BQ9" s="204">
        <f t="shared" si="1"/>
        <v>16381.670718232048</v>
      </c>
      <c r="BR9" s="204">
        <f t="shared" si="1"/>
        <v>16381.670718232048</v>
      </c>
      <c r="BS9" s="204">
        <f t="shared" si="1"/>
        <v>16381.670718232048</v>
      </c>
      <c r="BT9" s="204">
        <f t="shared" si="1"/>
        <v>16381.670718232048</v>
      </c>
      <c r="BU9" s="204">
        <f t="shared" si="1"/>
        <v>16381.670718232048</v>
      </c>
      <c r="BV9" s="204">
        <f t="shared" si="1"/>
        <v>16381.670718232048</v>
      </c>
      <c r="BW9" s="204">
        <f t="shared" si="1"/>
        <v>16381.670718232048</v>
      </c>
      <c r="BX9" s="204">
        <f t="shared" si="1"/>
        <v>16381.670718232048</v>
      </c>
      <c r="BY9" s="204">
        <f t="shared" si="1"/>
        <v>16381.670718232048</v>
      </c>
      <c r="BZ9" s="204">
        <f t="shared" si="1"/>
        <v>898.47513812154705</v>
      </c>
      <c r="CA9" s="204">
        <f t="shared" si="2"/>
        <v>898.47513812154705</v>
      </c>
      <c r="CB9" s="204">
        <f t="shared" si="2"/>
        <v>898.47513812154705</v>
      </c>
      <c r="CC9" s="204">
        <f t="shared" si="2"/>
        <v>898.47513812154705</v>
      </c>
      <c r="CD9" s="204">
        <f t="shared" si="2"/>
        <v>898.47513812154705</v>
      </c>
      <c r="CE9" s="204">
        <f t="shared" si="2"/>
        <v>898.47513812154705</v>
      </c>
      <c r="CF9" s="204">
        <f t="shared" si="2"/>
        <v>898.47513812154705</v>
      </c>
      <c r="CG9" s="204">
        <f t="shared" si="2"/>
        <v>898.47513812154705</v>
      </c>
      <c r="CH9" s="204">
        <f t="shared" si="2"/>
        <v>898.47513812154705</v>
      </c>
      <c r="CI9" s="204">
        <f t="shared" si="2"/>
        <v>898.47513812154705</v>
      </c>
      <c r="CJ9" s="204">
        <f t="shared" si="2"/>
        <v>898.47513812154705</v>
      </c>
      <c r="CK9" s="204">
        <f t="shared" si="2"/>
        <v>898.47513812154705</v>
      </c>
      <c r="CL9" s="204">
        <f t="shared" si="2"/>
        <v>898.47513812154705</v>
      </c>
      <c r="CM9" s="204">
        <f t="shared" si="2"/>
        <v>898.47513812154705</v>
      </c>
      <c r="CN9" s="204">
        <f t="shared" si="2"/>
        <v>898.47513812154705</v>
      </c>
      <c r="CO9" s="204">
        <f t="shared" si="2"/>
        <v>898.47513812154705</v>
      </c>
      <c r="CP9" s="204">
        <f t="shared" si="2"/>
        <v>898.47513812154705</v>
      </c>
      <c r="CQ9" s="204">
        <f t="shared" si="2"/>
        <v>898.47513812154705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16800</v>
      </c>
      <c r="D10" s="203">
        <f>Income!D79</f>
        <v>73920</v>
      </c>
      <c r="E10" s="203">
        <f>Income!E79</f>
        <v>188160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16800</v>
      </c>
      <c r="BB10" s="204">
        <f t="shared" si="1"/>
        <v>16800</v>
      </c>
      <c r="BC10" s="204">
        <f t="shared" si="1"/>
        <v>16800</v>
      </c>
      <c r="BD10" s="204">
        <f t="shared" si="1"/>
        <v>16800</v>
      </c>
      <c r="BE10" s="204">
        <f t="shared" si="1"/>
        <v>16800</v>
      </c>
      <c r="BF10" s="204">
        <f t="shared" si="1"/>
        <v>16800</v>
      </c>
      <c r="BG10" s="204">
        <f t="shared" si="1"/>
        <v>16800</v>
      </c>
      <c r="BH10" s="204">
        <f t="shared" si="1"/>
        <v>16800</v>
      </c>
      <c r="BI10" s="204">
        <f t="shared" si="1"/>
        <v>16800</v>
      </c>
      <c r="BJ10" s="204">
        <f t="shared" si="1"/>
        <v>16800</v>
      </c>
      <c r="BK10" s="204">
        <f t="shared" si="1"/>
        <v>16800</v>
      </c>
      <c r="BL10" s="204">
        <f t="shared" si="1"/>
        <v>16800</v>
      </c>
      <c r="BM10" s="204">
        <f t="shared" si="1"/>
        <v>16800</v>
      </c>
      <c r="BN10" s="204">
        <f t="shared" si="1"/>
        <v>16800</v>
      </c>
      <c r="BO10" s="204">
        <f t="shared" si="1"/>
        <v>16800</v>
      </c>
      <c r="BP10" s="204">
        <f t="shared" si="1"/>
        <v>16800</v>
      </c>
      <c r="BQ10" s="204">
        <f t="shared" si="1"/>
        <v>16800</v>
      </c>
      <c r="BR10" s="204">
        <f t="shared" ref="AX10:BZ18" si="8">IF(BR$2&lt;=($B$2+$C$2+$D$2),IF(BR$2&lt;=($B$2+$C$2),IF(BR$2&lt;=$B$2,$B10,$C10),$D10),$E10)</f>
        <v>16800</v>
      </c>
      <c r="BS10" s="204">
        <f t="shared" si="8"/>
        <v>16800</v>
      </c>
      <c r="BT10" s="204">
        <f t="shared" si="8"/>
        <v>16800</v>
      </c>
      <c r="BU10" s="204">
        <f t="shared" si="8"/>
        <v>16800</v>
      </c>
      <c r="BV10" s="204">
        <f t="shared" si="8"/>
        <v>16800</v>
      </c>
      <c r="BW10" s="204">
        <f t="shared" si="8"/>
        <v>16800</v>
      </c>
      <c r="BX10" s="204">
        <f t="shared" si="8"/>
        <v>16800</v>
      </c>
      <c r="BY10" s="204">
        <f t="shared" si="8"/>
        <v>16800</v>
      </c>
      <c r="BZ10" s="204">
        <f t="shared" si="8"/>
        <v>73920</v>
      </c>
      <c r="CA10" s="204">
        <f t="shared" si="2"/>
        <v>73920</v>
      </c>
      <c r="CB10" s="204">
        <f t="shared" si="2"/>
        <v>73920</v>
      </c>
      <c r="CC10" s="204">
        <f t="shared" si="2"/>
        <v>73920</v>
      </c>
      <c r="CD10" s="204">
        <f t="shared" si="2"/>
        <v>73920</v>
      </c>
      <c r="CE10" s="204">
        <f t="shared" si="2"/>
        <v>73920</v>
      </c>
      <c r="CF10" s="204">
        <f t="shared" si="2"/>
        <v>73920</v>
      </c>
      <c r="CG10" s="204">
        <f t="shared" si="2"/>
        <v>73920</v>
      </c>
      <c r="CH10" s="204">
        <f t="shared" si="2"/>
        <v>73920</v>
      </c>
      <c r="CI10" s="204">
        <f t="shared" si="2"/>
        <v>73920</v>
      </c>
      <c r="CJ10" s="204">
        <f t="shared" si="2"/>
        <v>73920</v>
      </c>
      <c r="CK10" s="204">
        <f t="shared" si="2"/>
        <v>73920</v>
      </c>
      <c r="CL10" s="204">
        <f t="shared" si="2"/>
        <v>73920</v>
      </c>
      <c r="CM10" s="204">
        <f t="shared" si="2"/>
        <v>73920</v>
      </c>
      <c r="CN10" s="204">
        <f t="shared" si="2"/>
        <v>73920</v>
      </c>
      <c r="CO10" s="204">
        <f t="shared" si="2"/>
        <v>73920</v>
      </c>
      <c r="CP10" s="204">
        <f t="shared" si="2"/>
        <v>73920</v>
      </c>
      <c r="CQ10" s="204">
        <f t="shared" si="2"/>
        <v>73920</v>
      </c>
      <c r="CR10" s="204">
        <f t="shared" si="2"/>
        <v>188160</v>
      </c>
      <c r="CS10" s="204">
        <f t="shared" si="3"/>
        <v>188160</v>
      </c>
      <c r="CT10" s="204">
        <f t="shared" si="3"/>
        <v>188160</v>
      </c>
      <c r="CU10" s="204">
        <f t="shared" si="3"/>
        <v>188160</v>
      </c>
      <c r="CV10" s="204">
        <f t="shared" si="3"/>
        <v>188160</v>
      </c>
      <c r="CW10" s="204">
        <f t="shared" si="3"/>
        <v>188160</v>
      </c>
      <c r="CX10" s="204">
        <f t="shared" si="3"/>
        <v>188160</v>
      </c>
      <c r="CY10" s="204">
        <f t="shared" si="3"/>
        <v>188160</v>
      </c>
      <c r="CZ10" s="204">
        <f t="shared" si="3"/>
        <v>188160</v>
      </c>
      <c r="DA10" s="204">
        <f t="shared" si="3"/>
        <v>188160</v>
      </c>
      <c r="DB10" s="204"/>
    </row>
    <row r="11" spans="1:106">
      <c r="A11" s="201" t="str">
        <f>Income!A81</f>
        <v>Self - employment</v>
      </c>
      <c r="B11" s="203">
        <f>Income!B81</f>
        <v>5145.0000000000009</v>
      </c>
      <c r="C11" s="203">
        <f>Income!C81</f>
        <v>7190.4000000000015</v>
      </c>
      <c r="D11" s="203">
        <f>Income!D81</f>
        <v>7660.8000000000011</v>
      </c>
      <c r="E11" s="203">
        <f>Income!E81</f>
        <v>0</v>
      </c>
      <c r="F11" s="204">
        <f t="shared" si="4"/>
        <v>5145.0000000000009</v>
      </c>
      <c r="G11" s="204">
        <f t="shared" si="4"/>
        <v>5145.0000000000009</v>
      </c>
      <c r="H11" s="204">
        <f t="shared" si="4"/>
        <v>5145.0000000000009</v>
      </c>
      <c r="I11" s="204">
        <f t="shared" si="4"/>
        <v>5145.0000000000009</v>
      </c>
      <c r="J11" s="204">
        <f t="shared" si="4"/>
        <v>5145.0000000000009</v>
      </c>
      <c r="K11" s="204">
        <f t="shared" si="4"/>
        <v>5145.0000000000009</v>
      </c>
      <c r="L11" s="204">
        <f t="shared" si="4"/>
        <v>5145.0000000000009</v>
      </c>
      <c r="M11" s="204">
        <f t="shared" si="4"/>
        <v>5145.0000000000009</v>
      </c>
      <c r="N11" s="204">
        <f t="shared" si="4"/>
        <v>5145.0000000000009</v>
      </c>
      <c r="O11" s="204">
        <f t="shared" si="4"/>
        <v>5145.0000000000009</v>
      </c>
      <c r="P11" s="204">
        <f t="shared" si="4"/>
        <v>5145.0000000000009</v>
      </c>
      <c r="Q11" s="204">
        <f t="shared" si="4"/>
        <v>5145.0000000000009</v>
      </c>
      <c r="R11" s="204">
        <f t="shared" si="4"/>
        <v>5145.0000000000009</v>
      </c>
      <c r="S11" s="204">
        <f t="shared" si="4"/>
        <v>5145.0000000000009</v>
      </c>
      <c r="T11" s="204">
        <f t="shared" si="4"/>
        <v>5145.0000000000009</v>
      </c>
      <c r="U11" s="204">
        <f t="shared" si="4"/>
        <v>5145.0000000000009</v>
      </c>
      <c r="V11" s="204">
        <f t="shared" si="6"/>
        <v>5145.0000000000009</v>
      </c>
      <c r="W11" s="204">
        <f t="shared" si="6"/>
        <v>5145.0000000000009</v>
      </c>
      <c r="X11" s="204">
        <f t="shared" si="6"/>
        <v>5145.0000000000009</v>
      </c>
      <c r="Y11" s="204">
        <f t="shared" si="6"/>
        <v>5145.0000000000009</v>
      </c>
      <c r="Z11" s="204">
        <f t="shared" si="6"/>
        <v>5145.0000000000009</v>
      </c>
      <c r="AA11" s="204">
        <f t="shared" si="6"/>
        <v>5145.0000000000009</v>
      </c>
      <c r="AB11" s="204">
        <f t="shared" si="6"/>
        <v>5145.0000000000009</v>
      </c>
      <c r="AC11" s="204">
        <f t="shared" si="6"/>
        <v>5145.0000000000009</v>
      </c>
      <c r="AD11" s="204">
        <f t="shared" si="6"/>
        <v>5145.0000000000009</v>
      </c>
      <c r="AE11" s="204">
        <f t="shared" si="6"/>
        <v>5145.0000000000009</v>
      </c>
      <c r="AF11" s="204">
        <f t="shared" si="6"/>
        <v>5145.0000000000009</v>
      </c>
      <c r="AG11" s="204">
        <f t="shared" si="6"/>
        <v>5145.0000000000009</v>
      </c>
      <c r="AH11" s="204">
        <f t="shared" si="6"/>
        <v>5145.0000000000009</v>
      </c>
      <c r="AI11" s="204">
        <f t="shared" si="6"/>
        <v>5145.0000000000009</v>
      </c>
      <c r="AJ11" s="204">
        <f t="shared" si="6"/>
        <v>5145.0000000000009</v>
      </c>
      <c r="AK11" s="204">
        <f t="shared" si="6"/>
        <v>5145.0000000000009</v>
      </c>
      <c r="AL11" s="204">
        <f t="shared" si="7"/>
        <v>5145.0000000000009</v>
      </c>
      <c r="AM11" s="204">
        <f t="shared" si="7"/>
        <v>5145.0000000000009</v>
      </c>
      <c r="AN11" s="204">
        <f t="shared" si="7"/>
        <v>5145.0000000000009</v>
      </c>
      <c r="AO11" s="204">
        <f t="shared" si="7"/>
        <v>5145.0000000000009</v>
      </c>
      <c r="AP11" s="204">
        <f t="shared" si="7"/>
        <v>5145.0000000000009</v>
      </c>
      <c r="AQ11" s="204">
        <f t="shared" si="7"/>
        <v>5145.0000000000009</v>
      </c>
      <c r="AR11" s="204">
        <f t="shared" si="7"/>
        <v>5145.0000000000009</v>
      </c>
      <c r="AS11" s="204">
        <f t="shared" si="7"/>
        <v>5145.0000000000009</v>
      </c>
      <c r="AT11" s="204">
        <f t="shared" si="7"/>
        <v>5145.0000000000009</v>
      </c>
      <c r="AU11" s="204">
        <f t="shared" si="7"/>
        <v>5145.0000000000009</v>
      </c>
      <c r="AV11" s="204">
        <f t="shared" si="7"/>
        <v>5145.0000000000009</v>
      </c>
      <c r="AW11" s="204">
        <f t="shared" si="7"/>
        <v>5145.0000000000009</v>
      </c>
      <c r="AX11" s="204">
        <f t="shared" si="8"/>
        <v>5145.0000000000009</v>
      </c>
      <c r="AY11" s="204">
        <f t="shared" si="8"/>
        <v>5145.0000000000009</v>
      </c>
      <c r="AZ11" s="204">
        <f t="shared" si="8"/>
        <v>5145.0000000000009</v>
      </c>
      <c r="BA11" s="204">
        <f t="shared" si="8"/>
        <v>7190.4000000000015</v>
      </c>
      <c r="BB11" s="204">
        <f t="shared" si="8"/>
        <v>7190.4000000000015</v>
      </c>
      <c r="BC11" s="204">
        <f t="shared" si="8"/>
        <v>7190.4000000000015</v>
      </c>
      <c r="BD11" s="204">
        <f t="shared" si="8"/>
        <v>7190.4000000000015</v>
      </c>
      <c r="BE11" s="204">
        <f t="shared" si="8"/>
        <v>7190.4000000000015</v>
      </c>
      <c r="BF11" s="204">
        <f t="shared" si="8"/>
        <v>7190.4000000000015</v>
      </c>
      <c r="BG11" s="204">
        <f t="shared" si="8"/>
        <v>7190.4000000000015</v>
      </c>
      <c r="BH11" s="204">
        <f t="shared" si="8"/>
        <v>7190.4000000000015</v>
      </c>
      <c r="BI11" s="204">
        <f t="shared" si="8"/>
        <v>7190.4000000000015</v>
      </c>
      <c r="BJ11" s="204">
        <f t="shared" si="8"/>
        <v>7190.4000000000015</v>
      </c>
      <c r="BK11" s="204">
        <f t="shared" si="8"/>
        <v>7190.4000000000015</v>
      </c>
      <c r="BL11" s="204">
        <f t="shared" si="8"/>
        <v>7190.4000000000015</v>
      </c>
      <c r="BM11" s="204">
        <f t="shared" si="8"/>
        <v>7190.4000000000015</v>
      </c>
      <c r="BN11" s="204">
        <f t="shared" si="8"/>
        <v>7190.4000000000015</v>
      </c>
      <c r="BO11" s="204">
        <f t="shared" si="8"/>
        <v>7190.4000000000015</v>
      </c>
      <c r="BP11" s="204">
        <f t="shared" si="8"/>
        <v>7190.4000000000015</v>
      </c>
      <c r="BQ11" s="204">
        <f t="shared" si="8"/>
        <v>7190.4000000000015</v>
      </c>
      <c r="BR11" s="204">
        <f t="shared" si="8"/>
        <v>7190.4000000000015</v>
      </c>
      <c r="BS11" s="204">
        <f t="shared" si="8"/>
        <v>7190.4000000000015</v>
      </c>
      <c r="BT11" s="204">
        <f t="shared" si="8"/>
        <v>7190.4000000000015</v>
      </c>
      <c r="BU11" s="204">
        <f t="shared" si="8"/>
        <v>7190.4000000000015</v>
      </c>
      <c r="BV11" s="204">
        <f t="shared" si="8"/>
        <v>7190.4000000000015</v>
      </c>
      <c r="BW11" s="204">
        <f t="shared" si="8"/>
        <v>7190.4000000000015</v>
      </c>
      <c r="BX11" s="204">
        <f t="shared" si="8"/>
        <v>7190.4000000000015</v>
      </c>
      <c r="BY11" s="204">
        <f t="shared" si="8"/>
        <v>7190.4000000000015</v>
      </c>
      <c r="BZ11" s="204">
        <f t="shared" si="8"/>
        <v>7660.8000000000011</v>
      </c>
      <c r="CA11" s="204">
        <f t="shared" si="2"/>
        <v>7660.8000000000011</v>
      </c>
      <c r="CB11" s="204">
        <f t="shared" si="2"/>
        <v>7660.8000000000011</v>
      </c>
      <c r="CC11" s="204">
        <f t="shared" si="2"/>
        <v>7660.8000000000011</v>
      </c>
      <c r="CD11" s="204">
        <f t="shared" si="2"/>
        <v>7660.8000000000011</v>
      </c>
      <c r="CE11" s="204">
        <f t="shared" si="2"/>
        <v>7660.8000000000011</v>
      </c>
      <c r="CF11" s="204">
        <f t="shared" si="2"/>
        <v>7660.8000000000011</v>
      </c>
      <c r="CG11" s="204">
        <f t="shared" si="2"/>
        <v>7660.8000000000011</v>
      </c>
      <c r="CH11" s="204">
        <f t="shared" si="2"/>
        <v>7660.8000000000011</v>
      </c>
      <c r="CI11" s="204">
        <f t="shared" si="2"/>
        <v>7660.8000000000011</v>
      </c>
      <c r="CJ11" s="204">
        <f t="shared" si="2"/>
        <v>7660.8000000000011</v>
      </c>
      <c r="CK11" s="204">
        <f t="shared" si="2"/>
        <v>7660.8000000000011</v>
      </c>
      <c r="CL11" s="204">
        <f t="shared" si="2"/>
        <v>7660.8000000000011</v>
      </c>
      <c r="CM11" s="204">
        <f t="shared" si="2"/>
        <v>7660.8000000000011</v>
      </c>
      <c r="CN11" s="204">
        <f t="shared" si="2"/>
        <v>7660.8000000000011</v>
      </c>
      <c r="CO11" s="204">
        <f t="shared" si="2"/>
        <v>7660.8000000000011</v>
      </c>
      <c r="CP11" s="204">
        <f t="shared" si="2"/>
        <v>7660.8000000000011</v>
      </c>
      <c r="CQ11" s="204">
        <f t="shared" si="2"/>
        <v>7660.8000000000011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1075.2000000000003</v>
      </c>
      <c r="D12" s="203">
        <f>Income!D82</f>
        <v>0</v>
      </c>
      <c r="E12" s="203">
        <f>Income!E82</f>
        <v>188160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1075.2000000000003</v>
      </c>
      <c r="BB12" s="204">
        <f t="shared" si="8"/>
        <v>1075.2000000000003</v>
      </c>
      <c r="BC12" s="204">
        <f t="shared" si="8"/>
        <v>1075.2000000000003</v>
      </c>
      <c r="BD12" s="204">
        <f t="shared" si="8"/>
        <v>1075.2000000000003</v>
      </c>
      <c r="BE12" s="204">
        <f t="shared" si="8"/>
        <v>1075.2000000000003</v>
      </c>
      <c r="BF12" s="204">
        <f t="shared" si="8"/>
        <v>1075.2000000000003</v>
      </c>
      <c r="BG12" s="204">
        <f t="shared" si="8"/>
        <v>1075.2000000000003</v>
      </c>
      <c r="BH12" s="204">
        <f t="shared" si="8"/>
        <v>1075.2000000000003</v>
      </c>
      <c r="BI12" s="204">
        <f t="shared" si="8"/>
        <v>1075.2000000000003</v>
      </c>
      <c r="BJ12" s="204">
        <f t="shared" si="8"/>
        <v>1075.2000000000003</v>
      </c>
      <c r="BK12" s="204">
        <f t="shared" si="8"/>
        <v>1075.2000000000003</v>
      </c>
      <c r="BL12" s="204">
        <f t="shared" si="8"/>
        <v>1075.2000000000003</v>
      </c>
      <c r="BM12" s="204">
        <f t="shared" si="8"/>
        <v>1075.2000000000003</v>
      </c>
      <c r="BN12" s="204">
        <f t="shared" si="8"/>
        <v>1075.2000000000003</v>
      </c>
      <c r="BO12" s="204">
        <f t="shared" si="8"/>
        <v>1075.2000000000003</v>
      </c>
      <c r="BP12" s="204">
        <f t="shared" si="8"/>
        <v>1075.2000000000003</v>
      </c>
      <c r="BQ12" s="204">
        <f t="shared" si="8"/>
        <v>1075.2000000000003</v>
      </c>
      <c r="BR12" s="204">
        <f t="shared" si="8"/>
        <v>1075.2000000000003</v>
      </c>
      <c r="BS12" s="204">
        <f t="shared" si="8"/>
        <v>1075.2000000000003</v>
      </c>
      <c r="BT12" s="204">
        <f t="shared" si="8"/>
        <v>1075.2000000000003</v>
      </c>
      <c r="BU12" s="204">
        <f t="shared" si="8"/>
        <v>1075.2000000000003</v>
      </c>
      <c r="BV12" s="204">
        <f t="shared" si="8"/>
        <v>1075.2000000000003</v>
      </c>
      <c r="BW12" s="204">
        <f t="shared" si="8"/>
        <v>1075.2000000000003</v>
      </c>
      <c r="BX12" s="204">
        <f t="shared" si="8"/>
        <v>1075.2000000000003</v>
      </c>
      <c r="BY12" s="204">
        <f t="shared" si="8"/>
        <v>1075.2000000000003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188160</v>
      </c>
      <c r="CS12" s="204">
        <f t="shared" si="3"/>
        <v>188160</v>
      </c>
      <c r="CT12" s="204">
        <f t="shared" si="3"/>
        <v>188160</v>
      </c>
      <c r="CU12" s="204">
        <f t="shared" si="3"/>
        <v>188160</v>
      </c>
      <c r="CV12" s="204">
        <f t="shared" si="3"/>
        <v>188160</v>
      </c>
      <c r="CW12" s="204">
        <f t="shared" si="3"/>
        <v>188160</v>
      </c>
      <c r="CX12" s="204">
        <f t="shared" si="3"/>
        <v>188160</v>
      </c>
      <c r="CY12" s="204">
        <f t="shared" si="3"/>
        <v>188160</v>
      </c>
      <c r="CZ12" s="204">
        <f t="shared" si="3"/>
        <v>188160</v>
      </c>
      <c r="DA12" s="204">
        <f t="shared" si="3"/>
        <v>188160</v>
      </c>
      <c r="DB12" s="204"/>
    </row>
    <row r="13" spans="1:106">
      <c r="A13" s="201" t="str">
        <f>Income!A83</f>
        <v>Food transfer - official</v>
      </c>
      <c r="B13" s="203">
        <f>Income!B83</f>
        <v>85.763535911602219</v>
      </c>
      <c r="C13" s="203">
        <f>Income!C83</f>
        <v>565.1366629594969</v>
      </c>
      <c r="D13" s="203">
        <f>Income!D83</f>
        <v>0</v>
      </c>
      <c r="E13" s="203">
        <f>Income!E83</f>
        <v>0</v>
      </c>
      <c r="F13" s="204">
        <f t="shared" si="4"/>
        <v>85.763535911602219</v>
      </c>
      <c r="G13" s="204">
        <f t="shared" si="4"/>
        <v>85.763535911602219</v>
      </c>
      <c r="H13" s="204">
        <f t="shared" si="4"/>
        <v>85.763535911602219</v>
      </c>
      <c r="I13" s="204">
        <f t="shared" si="4"/>
        <v>85.763535911602219</v>
      </c>
      <c r="J13" s="204">
        <f t="shared" si="4"/>
        <v>85.763535911602219</v>
      </c>
      <c r="K13" s="204">
        <f t="shared" si="4"/>
        <v>85.763535911602219</v>
      </c>
      <c r="L13" s="204">
        <f t="shared" si="4"/>
        <v>85.763535911602219</v>
      </c>
      <c r="M13" s="204">
        <f t="shared" si="4"/>
        <v>85.763535911602219</v>
      </c>
      <c r="N13" s="204">
        <f t="shared" si="4"/>
        <v>85.763535911602219</v>
      </c>
      <c r="O13" s="204">
        <f t="shared" si="4"/>
        <v>85.763535911602219</v>
      </c>
      <c r="P13" s="204">
        <f t="shared" si="4"/>
        <v>85.763535911602219</v>
      </c>
      <c r="Q13" s="204">
        <f t="shared" si="4"/>
        <v>85.763535911602219</v>
      </c>
      <c r="R13" s="204">
        <f t="shared" si="4"/>
        <v>85.763535911602219</v>
      </c>
      <c r="S13" s="204">
        <f t="shared" si="4"/>
        <v>85.763535911602219</v>
      </c>
      <c r="T13" s="204">
        <f t="shared" si="4"/>
        <v>85.763535911602219</v>
      </c>
      <c r="U13" s="204">
        <f t="shared" si="4"/>
        <v>85.763535911602219</v>
      </c>
      <c r="V13" s="204">
        <f t="shared" si="6"/>
        <v>85.763535911602219</v>
      </c>
      <c r="W13" s="204">
        <f t="shared" si="6"/>
        <v>85.763535911602219</v>
      </c>
      <c r="X13" s="204">
        <f t="shared" si="6"/>
        <v>85.763535911602219</v>
      </c>
      <c r="Y13" s="204">
        <f t="shared" si="6"/>
        <v>85.763535911602219</v>
      </c>
      <c r="Z13" s="204">
        <f t="shared" si="6"/>
        <v>85.763535911602219</v>
      </c>
      <c r="AA13" s="204">
        <f t="shared" si="6"/>
        <v>85.763535911602219</v>
      </c>
      <c r="AB13" s="204">
        <f t="shared" si="6"/>
        <v>85.763535911602219</v>
      </c>
      <c r="AC13" s="204">
        <f t="shared" si="6"/>
        <v>85.763535911602219</v>
      </c>
      <c r="AD13" s="204">
        <f t="shared" si="6"/>
        <v>85.763535911602219</v>
      </c>
      <c r="AE13" s="204">
        <f t="shared" si="6"/>
        <v>85.763535911602219</v>
      </c>
      <c r="AF13" s="204">
        <f t="shared" si="6"/>
        <v>85.763535911602219</v>
      </c>
      <c r="AG13" s="204">
        <f t="shared" si="6"/>
        <v>85.763535911602219</v>
      </c>
      <c r="AH13" s="204">
        <f t="shared" si="6"/>
        <v>85.763535911602219</v>
      </c>
      <c r="AI13" s="204">
        <f t="shared" si="6"/>
        <v>85.763535911602219</v>
      </c>
      <c r="AJ13" s="204">
        <f t="shared" si="6"/>
        <v>85.763535911602219</v>
      </c>
      <c r="AK13" s="204">
        <f t="shared" si="6"/>
        <v>85.763535911602219</v>
      </c>
      <c r="AL13" s="204">
        <f t="shared" si="7"/>
        <v>85.763535911602219</v>
      </c>
      <c r="AM13" s="204">
        <f t="shared" si="7"/>
        <v>85.763535911602219</v>
      </c>
      <c r="AN13" s="204">
        <f t="shared" si="7"/>
        <v>85.763535911602219</v>
      </c>
      <c r="AO13" s="204">
        <f t="shared" si="7"/>
        <v>85.763535911602219</v>
      </c>
      <c r="AP13" s="204">
        <f t="shared" si="7"/>
        <v>85.763535911602219</v>
      </c>
      <c r="AQ13" s="204">
        <f t="shared" si="7"/>
        <v>85.763535911602219</v>
      </c>
      <c r="AR13" s="204">
        <f t="shared" si="7"/>
        <v>85.763535911602219</v>
      </c>
      <c r="AS13" s="204">
        <f t="shared" si="7"/>
        <v>85.763535911602219</v>
      </c>
      <c r="AT13" s="204">
        <f t="shared" si="7"/>
        <v>85.763535911602219</v>
      </c>
      <c r="AU13" s="204">
        <f t="shared" si="7"/>
        <v>85.763535911602219</v>
      </c>
      <c r="AV13" s="204">
        <f t="shared" si="7"/>
        <v>85.763535911602219</v>
      </c>
      <c r="AW13" s="204">
        <f t="shared" si="7"/>
        <v>85.763535911602219</v>
      </c>
      <c r="AX13" s="204">
        <f t="shared" si="8"/>
        <v>85.763535911602219</v>
      </c>
      <c r="AY13" s="204">
        <f t="shared" si="8"/>
        <v>85.763535911602219</v>
      </c>
      <c r="AZ13" s="204">
        <f t="shared" si="8"/>
        <v>85.763535911602219</v>
      </c>
      <c r="BA13" s="204">
        <f t="shared" si="8"/>
        <v>565.1366629594969</v>
      </c>
      <c r="BB13" s="204">
        <f t="shared" si="8"/>
        <v>565.1366629594969</v>
      </c>
      <c r="BC13" s="204">
        <f t="shared" si="8"/>
        <v>565.1366629594969</v>
      </c>
      <c r="BD13" s="204">
        <f t="shared" si="8"/>
        <v>565.1366629594969</v>
      </c>
      <c r="BE13" s="204">
        <f t="shared" si="8"/>
        <v>565.1366629594969</v>
      </c>
      <c r="BF13" s="204">
        <f t="shared" si="8"/>
        <v>565.1366629594969</v>
      </c>
      <c r="BG13" s="204">
        <f t="shared" si="8"/>
        <v>565.1366629594969</v>
      </c>
      <c r="BH13" s="204">
        <f t="shared" si="8"/>
        <v>565.1366629594969</v>
      </c>
      <c r="BI13" s="204">
        <f t="shared" si="8"/>
        <v>565.1366629594969</v>
      </c>
      <c r="BJ13" s="204">
        <f t="shared" si="8"/>
        <v>565.1366629594969</v>
      </c>
      <c r="BK13" s="204">
        <f t="shared" si="8"/>
        <v>565.1366629594969</v>
      </c>
      <c r="BL13" s="204">
        <f t="shared" si="8"/>
        <v>565.1366629594969</v>
      </c>
      <c r="BM13" s="204">
        <f t="shared" si="8"/>
        <v>565.1366629594969</v>
      </c>
      <c r="BN13" s="204">
        <f t="shared" si="8"/>
        <v>565.1366629594969</v>
      </c>
      <c r="BO13" s="204">
        <f t="shared" si="8"/>
        <v>565.1366629594969</v>
      </c>
      <c r="BP13" s="204">
        <f t="shared" si="8"/>
        <v>565.1366629594969</v>
      </c>
      <c r="BQ13" s="204">
        <f t="shared" si="8"/>
        <v>565.1366629594969</v>
      </c>
      <c r="BR13" s="204">
        <f t="shared" si="8"/>
        <v>565.1366629594969</v>
      </c>
      <c r="BS13" s="204">
        <f t="shared" si="8"/>
        <v>565.1366629594969</v>
      </c>
      <c r="BT13" s="204">
        <f t="shared" si="8"/>
        <v>565.1366629594969</v>
      </c>
      <c r="BU13" s="204">
        <f t="shared" si="8"/>
        <v>565.1366629594969</v>
      </c>
      <c r="BV13" s="204">
        <f t="shared" si="8"/>
        <v>565.1366629594969</v>
      </c>
      <c r="BW13" s="204">
        <f t="shared" si="8"/>
        <v>565.1366629594969</v>
      </c>
      <c r="BX13" s="204">
        <f t="shared" si="8"/>
        <v>565.1366629594969</v>
      </c>
      <c r="BY13" s="204">
        <f t="shared" si="8"/>
        <v>565.1366629594969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21051.290909090912</v>
      </c>
      <c r="C14" s="203">
        <f>Income!C85</f>
        <v>22327.709090909095</v>
      </c>
      <c r="D14" s="203">
        <f>Income!D85</f>
        <v>8867.345454545457</v>
      </c>
      <c r="E14" s="203">
        <f>Income!E85</f>
        <v>10345.236363636366</v>
      </c>
      <c r="F14" s="204">
        <f t="shared" si="4"/>
        <v>21051.290909090912</v>
      </c>
      <c r="G14" s="204">
        <f t="shared" si="4"/>
        <v>21051.290909090912</v>
      </c>
      <c r="H14" s="204">
        <f t="shared" si="4"/>
        <v>21051.290909090912</v>
      </c>
      <c r="I14" s="204">
        <f t="shared" si="4"/>
        <v>21051.290909090912</v>
      </c>
      <c r="J14" s="204">
        <f t="shared" si="4"/>
        <v>21051.290909090912</v>
      </c>
      <c r="K14" s="204">
        <f t="shared" si="4"/>
        <v>21051.290909090912</v>
      </c>
      <c r="L14" s="204">
        <f t="shared" si="4"/>
        <v>21051.290909090912</v>
      </c>
      <c r="M14" s="204">
        <f t="shared" si="4"/>
        <v>21051.290909090912</v>
      </c>
      <c r="N14" s="204">
        <f t="shared" si="4"/>
        <v>21051.290909090912</v>
      </c>
      <c r="O14" s="204">
        <f t="shared" si="4"/>
        <v>21051.290909090912</v>
      </c>
      <c r="P14" s="204">
        <f t="shared" si="4"/>
        <v>21051.290909090912</v>
      </c>
      <c r="Q14" s="204">
        <f t="shared" si="4"/>
        <v>21051.290909090912</v>
      </c>
      <c r="R14" s="204">
        <f t="shared" si="4"/>
        <v>21051.290909090912</v>
      </c>
      <c r="S14" s="204">
        <f t="shared" si="4"/>
        <v>21051.290909090912</v>
      </c>
      <c r="T14" s="204">
        <f t="shared" si="4"/>
        <v>21051.290909090912</v>
      </c>
      <c r="U14" s="204">
        <f t="shared" si="4"/>
        <v>21051.290909090912</v>
      </c>
      <c r="V14" s="204">
        <f t="shared" si="6"/>
        <v>21051.290909090912</v>
      </c>
      <c r="W14" s="204">
        <f t="shared" si="6"/>
        <v>21051.290909090912</v>
      </c>
      <c r="X14" s="204">
        <f t="shared" si="6"/>
        <v>21051.290909090912</v>
      </c>
      <c r="Y14" s="204">
        <f t="shared" si="6"/>
        <v>21051.290909090912</v>
      </c>
      <c r="Z14" s="204">
        <f t="shared" si="6"/>
        <v>21051.290909090912</v>
      </c>
      <c r="AA14" s="204">
        <f t="shared" si="6"/>
        <v>21051.290909090912</v>
      </c>
      <c r="AB14" s="204">
        <f t="shared" si="6"/>
        <v>21051.290909090912</v>
      </c>
      <c r="AC14" s="204">
        <f t="shared" si="6"/>
        <v>21051.290909090912</v>
      </c>
      <c r="AD14" s="204">
        <f t="shared" si="6"/>
        <v>21051.290909090912</v>
      </c>
      <c r="AE14" s="204">
        <f t="shared" si="6"/>
        <v>21051.290909090912</v>
      </c>
      <c r="AF14" s="204">
        <f t="shared" si="6"/>
        <v>21051.290909090912</v>
      </c>
      <c r="AG14" s="204">
        <f t="shared" si="6"/>
        <v>21051.290909090912</v>
      </c>
      <c r="AH14" s="204">
        <f t="shared" si="6"/>
        <v>21051.290909090912</v>
      </c>
      <c r="AI14" s="204">
        <f t="shared" si="6"/>
        <v>21051.290909090912</v>
      </c>
      <c r="AJ14" s="204">
        <f t="shared" si="6"/>
        <v>21051.290909090912</v>
      </c>
      <c r="AK14" s="204">
        <f t="shared" si="6"/>
        <v>21051.290909090912</v>
      </c>
      <c r="AL14" s="204">
        <f t="shared" si="7"/>
        <v>21051.290909090912</v>
      </c>
      <c r="AM14" s="204">
        <f t="shared" si="7"/>
        <v>21051.290909090912</v>
      </c>
      <c r="AN14" s="204">
        <f t="shared" si="7"/>
        <v>21051.290909090912</v>
      </c>
      <c r="AO14" s="204">
        <f t="shared" si="7"/>
        <v>21051.290909090912</v>
      </c>
      <c r="AP14" s="204">
        <f t="shared" si="7"/>
        <v>21051.290909090912</v>
      </c>
      <c r="AQ14" s="204">
        <f t="shared" si="7"/>
        <v>21051.290909090912</v>
      </c>
      <c r="AR14" s="204">
        <f t="shared" si="7"/>
        <v>21051.290909090912</v>
      </c>
      <c r="AS14" s="204">
        <f t="shared" si="7"/>
        <v>21051.290909090912</v>
      </c>
      <c r="AT14" s="204">
        <f t="shared" si="7"/>
        <v>21051.290909090912</v>
      </c>
      <c r="AU14" s="204">
        <f t="shared" si="7"/>
        <v>21051.290909090912</v>
      </c>
      <c r="AV14" s="204">
        <f t="shared" si="7"/>
        <v>21051.290909090912</v>
      </c>
      <c r="AW14" s="204">
        <f t="shared" si="7"/>
        <v>21051.290909090912</v>
      </c>
      <c r="AX14" s="204">
        <f t="shared" si="7"/>
        <v>21051.290909090912</v>
      </c>
      <c r="AY14" s="204">
        <f t="shared" si="7"/>
        <v>21051.290909090912</v>
      </c>
      <c r="AZ14" s="204">
        <f t="shared" si="7"/>
        <v>21051.290909090912</v>
      </c>
      <c r="BA14" s="204">
        <f t="shared" si="7"/>
        <v>22327.709090909095</v>
      </c>
      <c r="BB14" s="204">
        <f t="shared" si="8"/>
        <v>22327.709090909095</v>
      </c>
      <c r="BC14" s="204">
        <f t="shared" si="8"/>
        <v>22327.709090909095</v>
      </c>
      <c r="BD14" s="204">
        <f t="shared" si="8"/>
        <v>22327.709090909095</v>
      </c>
      <c r="BE14" s="204">
        <f t="shared" si="8"/>
        <v>22327.709090909095</v>
      </c>
      <c r="BF14" s="204">
        <f t="shared" si="8"/>
        <v>22327.709090909095</v>
      </c>
      <c r="BG14" s="204">
        <f t="shared" si="8"/>
        <v>22327.709090909095</v>
      </c>
      <c r="BH14" s="204">
        <f t="shared" si="8"/>
        <v>22327.709090909095</v>
      </c>
      <c r="BI14" s="204">
        <f t="shared" si="8"/>
        <v>22327.709090909095</v>
      </c>
      <c r="BJ14" s="204">
        <f t="shared" si="8"/>
        <v>22327.709090909095</v>
      </c>
      <c r="BK14" s="204">
        <f t="shared" si="8"/>
        <v>22327.709090909095</v>
      </c>
      <c r="BL14" s="204">
        <f t="shared" si="8"/>
        <v>22327.709090909095</v>
      </c>
      <c r="BM14" s="204">
        <f t="shared" si="8"/>
        <v>22327.709090909095</v>
      </c>
      <c r="BN14" s="204">
        <f t="shared" si="8"/>
        <v>22327.709090909095</v>
      </c>
      <c r="BO14" s="204">
        <f t="shared" si="8"/>
        <v>22327.709090909095</v>
      </c>
      <c r="BP14" s="204">
        <f t="shared" si="8"/>
        <v>22327.709090909095</v>
      </c>
      <c r="BQ14" s="204">
        <f t="shared" si="8"/>
        <v>22327.709090909095</v>
      </c>
      <c r="BR14" s="204">
        <f t="shared" si="8"/>
        <v>22327.709090909095</v>
      </c>
      <c r="BS14" s="204">
        <f t="shared" si="8"/>
        <v>22327.709090909095</v>
      </c>
      <c r="BT14" s="204">
        <f t="shared" si="8"/>
        <v>22327.709090909095</v>
      </c>
      <c r="BU14" s="204">
        <f t="shared" si="8"/>
        <v>22327.709090909095</v>
      </c>
      <c r="BV14" s="204">
        <f t="shared" si="8"/>
        <v>22327.709090909095</v>
      </c>
      <c r="BW14" s="204">
        <f t="shared" si="8"/>
        <v>22327.709090909095</v>
      </c>
      <c r="BX14" s="204">
        <f t="shared" si="8"/>
        <v>22327.709090909095</v>
      </c>
      <c r="BY14" s="204">
        <f t="shared" si="8"/>
        <v>22327.709090909095</v>
      </c>
      <c r="BZ14" s="204">
        <f t="shared" si="8"/>
        <v>8867.345454545457</v>
      </c>
      <c r="CA14" s="204">
        <f t="shared" si="2"/>
        <v>8867.345454545457</v>
      </c>
      <c r="CB14" s="204">
        <f t="shared" si="2"/>
        <v>8867.345454545457</v>
      </c>
      <c r="CC14" s="204">
        <f t="shared" si="2"/>
        <v>8867.345454545457</v>
      </c>
      <c r="CD14" s="204">
        <f t="shared" si="2"/>
        <v>8867.345454545457</v>
      </c>
      <c r="CE14" s="204">
        <f t="shared" si="2"/>
        <v>8867.345454545457</v>
      </c>
      <c r="CF14" s="204">
        <f t="shared" si="2"/>
        <v>8867.345454545457</v>
      </c>
      <c r="CG14" s="204">
        <f t="shared" si="2"/>
        <v>8867.345454545457</v>
      </c>
      <c r="CH14" s="204">
        <f t="shared" si="2"/>
        <v>8867.345454545457</v>
      </c>
      <c r="CI14" s="204">
        <f t="shared" si="2"/>
        <v>8867.345454545457</v>
      </c>
      <c r="CJ14" s="204">
        <f t="shared" si="2"/>
        <v>8867.345454545457</v>
      </c>
      <c r="CK14" s="204">
        <f t="shared" si="2"/>
        <v>8867.345454545457</v>
      </c>
      <c r="CL14" s="204">
        <f t="shared" si="2"/>
        <v>8867.345454545457</v>
      </c>
      <c r="CM14" s="204">
        <f t="shared" si="2"/>
        <v>8867.345454545457</v>
      </c>
      <c r="CN14" s="204">
        <f t="shared" si="2"/>
        <v>8867.345454545457</v>
      </c>
      <c r="CO14" s="204">
        <f t="shared" si="2"/>
        <v>8867.345454545457</v>
      </c>
      <c r="CP14" s="204">
        <f t="shared" si="2"/>
        <v>8867.345454545457</v>
      </c>
      <c r="CQ14" s="204">
        <f t="shared" si="2"/>
        <v>8867.345454545457</v>
      </c>
      <c r="CR14" s="204">
        <f t="shared" si="2"/>
        <v>10345.236363636366</v>
      </c>
      <c r="CS14" s="204">
        <f t="shared" si="3"/>
        <v>10345.236363636366</v>
      </c>
      <c r="CT14" s="204">
        <f t="shared" si="3"/>
        <v>10345.236363636366</v>
      </c>
      <c r="CU14" s="204">
        <f t="shared" si="3"/>
        <v>10345.236363636366</v>
      </c>
      <c r="CV14" s="204">
        <f t="shared" si="3"/>
        <v>10345.236363636366</v>
      </c>
      <c r="CW14" s="204">
        <f t="shared" si="3"/>
        <v>10345.236363636366</v>
      </c>
      <c r="CX14" s="204">
        <f t="shared" si="3"/>
        <v>10345.236363636366</v>
      </c>
      <c r="CY14" s="204">
        <f t="shared" si="3"/>
        <v>10345.236363636366</v>
      </c>
      <c r="CZ14" s="204">
        <f t="shared" si="3"/>
        <v>10345.236363636366</v>
      </c>
      <c r="DA14" s="204">
        <f t="shared" si="3"/>
        <v>10345.236363636366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5376</v>
      </c>
      <c r="D15" s="203">
        <f>Income!D86</f>
        <v>1344</v>
      </c>
      <c r="E15" s="203">
        <f>Income!E86</f>
        <v>18816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5376</v>
      </c>
      <c r="BB15" s="204">
        <f t="shared" si="8"/>
        <v>5376</v>
      </c>
      <c r="BC15" s="204">
        <f t="shared" si="8"/>
        <v>5376</v>
      </c>
      <c r="BD15" s="204">
        <f t="shared" si="8"/>
        <v>5376</v>
      </c>
      <c r="BE15" s="204">
        <f t="shared" si="8"/>
        <v>5376</v>
      </c>
      <c r="BF15" s="204">
        <f t="shared" si="8"/>
        <v>5376</v>
      </c>
      <c r="BG15" s="204">
        <f t="shared" si="8"/>
        <v>5376</v>
      </c>
      <c r="BH15" s="204">
        <f t="shared" si="8"/>
        <v>5376</v>
      </c>
      <c r="BI15" s="204">
        <f t="shared" si="8"/>
        <v>5376</v>
      </c>
      <c r="BJ15" s="204">
        <f t="shared" si="8"/>
        <v>5376</v>
      </c>
      <c r="BK15" s="204">
        <f t="shared" si="8"/>
        <v>5376</v>
      </c>
      <c r="BL15" s="204">
        <f t="shared" si="8"/>
        <v>5376</v>
      </c>
      <c r="BM15" s="204">
        <f t="shared" si="8"/>
        <v>5376</v>
      </c>
      <c r="BN15" s="204">
        <f t="shared" si="8"/>
        <v>5376</v>
      </c>
      <c r="BO15" s="204">
        <f t="shared" si="8"/>
        <v>5376</v>
      </c>
      <c r="BP15" s="204">
        <f t="shared" si="8"/>
        <v>5376</v>
      </c>
      <c r="BQ15" s="204">
        <f t="shared" si="8"/>
        <v>5376</v>
      </c>
      <c r="BR15" s="204">
        <f t="shared" si="8"/>
        <v>5376</v>
      </c>
      <c r="BS15" s="204">
        <f t="shared" si="8"/>
        <v>5376</v>
      </c>
      <c r="BT15" s="204">
        <f t="shared" si="8"/>
        <v>5376</v>
      </c>
      <c r="BU15" s="204">
        <f t="shared" si="8"/>
        <v>5376</v>
      </c>
      <c r="BV15" s="204">
        <f t="shared" si="8"/>
        <v>5376</v>
      </c>
      <c r="BW15" s="204">
        <f t="shared" si="8"/>
        <v>5376</v>
      </c>
      <c r="BX15" s="204">
        <f t="shared" si="8"/>
        <v>5376</v>
      </c>
      <c r="BY15" s="204">
        <f t="shared" si="8"/>
        <v>5376</v>
      </c>
      <c r="BZ15" s="204">
        <f t="shared" si="8"/>
        <v>1344</v>
      </c>
      <c r="CA15" s="204">
        <f t="shared" si="2"/>
        <v>1344</v>
      </c>
      <c r="CB15" s="204">
        <f t="shared" si="2"/>
        <v>1344</v>
      </c>
      <c r="CC15" s="204">
        <f t="shared" si="2"/>
        <v>1344</v>
      </c>
      <c r="CD15" s="204">
        <f t="shared" ref="CC15:CR18" si="9">IF(CD$2&lt;=($B$2+$C$2+$D$2),IF(CD$2&lt;=($B$2+$C$2),IF(CD$2&lt;=$B$2,$B15,$C15),$D15),$E15)</f>
        <v>1344</v>
      </c>
      <c r="CE15" s="204">
        <f t="shared" si="9"/>
        <v>1344</v>
      </c>
      <c r="CF15" s="204">
        <f t="shared" si="9"/>
        <v>1344</v>
      </c>
      <c r="CG15" s="204">
        <f t="shared" si="9"/>
        <v>1344</v>
      </c>
      <c r="CH15" s="204">
        <f t="shared" si="9"/>
        <v>1344</v>
      </c>
      <c r="CI15" s="204">
        <f t="shared" si="9"/>
        <v>1344</v>
      </c>
      <c r="CJ15" s="204">
        <f t="shared" si="9"/>
        <v>1344</v>
      </c>
      <c r="CK15" s="204">
        <f t="shared" si="9"/>
        <v>1344</v>
      </c>
      <c r="CL15" s="204">
        <f t="shared" si="9"/>
        <v>1344</v>
      </c>
      <c r="CM15" s="204">
        <f t="shared" si="9"/>
        <v>1344</v>
      </c>
      <c r="CN15" s="204">
        <f t="shared" si="9"/>
        <v>1344</v>
      </c>
      <c r="CO15" s="204">
        <f t="shared" si="9"/>
        <v>1344</v>
      </c>
      <c r="CP15" s="204">
        <f t="shared" si="9"/>
        <v>1344</v>
      </c>
      <c r="CQ15" s="204">
        <f t="shared" si="9"/>
        <v>1344</v>
      </c>
      <c r="CR15" s="204">
        <f t="shared" si="9"/>
        <v>18816</v>
      </c>
      <c r="CS15" s="204">
        <f t="shared" si="3"/>
        <v>18816</v>
      </c>
      <c r="CT15" s="204">
        <f t="shared" si="3"/>
        <v>18816</v>
      </c>
      <c r="CU15" s="204">
        <f t="shared" si="3"/>
        <v>18816</v>
      </c>
      <c r="CV15" s="204">
        <f t="shared" si="3"/>
        <v>18816</v>
      </c>
      <c r="CW15" s="204">
        <f t="shared" si="3"/>
        <v>18816</v>
      </c>
      <c r="CX15" s="204">
        <f t="shared" si="3"/>
        <v>18816</v>
      </c>
      <c r="CY15" s="204">
        <f t="shared" si="3"/>
        <v>18816</v>
      </c>
      <c r="CZ15" s="204">
        <f t="shared" si="3"/>
        <v>18816</v>
      </c>
      <c r="DA15" s="204">
        <f t="shared" si="3"/>
        <v>18816</v>
      </c>
      <c r="DB15" s="204"/>
    </row>
    <row r="16" spans="1:106">
      <c r="A16" s="201" t="s">
        <v>115</v>
      </c>
      <c r="B16" s="203">
        <f>Income!B88</f>
        <v>38183.500654221672</v>
      </c>
      <c r="C16" s="203">
        <f>Income!C88</f>
        <v>80911.777300807051</v>
      </c>
      <c r="D16" s="203">
        <f>Income!D88</f>
        <v>112734.24402669565</v>
      </c>
      <c r="E16" s="203">
        <f>Income!E88</f>
        <v>458015.76939349907</v>
      </c>
      <c r="F16" s="204">
        <f t="shared" si="4"/>
        <v>38183.500654221672</v>
      </c>
      <c r="G16" s="204">
        <f t="shared" si="4"/>
        <v>38183.500654221672</v>
      </c>
      <c r="H16" s="204">
        <f t="shared" si="4"/>
        <v>38183.500654221672</v>
      </c>
      <c r="I16" s="204">
        <f t="shared" si="4"/>
        <v>38183.500654221672</v>
      </c>
      <c r="J16" s="204">
        <f t="shared" si="4"/>
        <v>38183.500654221672</v>
      </c>
      <c r="K16" s="204">
        <f t="shared" si="4"/>
        <v>38183.500654221672</v>
      </c>
      <c r="L16" s="204">
        <f t="shared" si="4"/>
        <v>38183.500654221672</v>
      </c>
      <c r="M16" s="204">
        <f t="shared" si="4"/>
        <v>38183.500654221672</v>
      </c>
      <c r="N16" s="204">
        <f t="shared" si="4"/>
        <v>38183.500654221672</v>
      </c>
      <c r="O16" s="204">
        <f t="shared" si="4"/>
        <v>38183.500654221672</v>
      </c>
      <c r="P16" s="204">
        <f t="shared" si="4"/>
        <v>38183.500654221672</v>
      </c>
      <c r="Q16" s="204">
        <f t="shared" si="4"/>
        <v>38183.500654221672</v>
      </c>
      <c r="R16" s="204">
        <f t="shared" si="4"/>
        <v>38183.500654221672</v>
      </c>
      <c r="S16" s="204">
        <f t="shared" si="4"/>
        <v>38183.500654221672</v>
      </c>
      <c r="T16" s="204">
        <f t="shared" si="4"/>
        <v>38183.500654221672</v>
      </c>
      <c r="U16" s="204">
        <f t="shared" si="4"/>
        <v>38183.500654221672</v>
      </c>
      <c r="V16" s="204">
        <f t="shared" si="6"/>
        <v>38183.500654221672</v>
      </c>
      <c r="W16" s="204">
        <f t="shared" si="6"/>
        <v>38183.500654221672</v>
      </c>
      <c r="X16" s="204">
        <f t="shared" si="6"/>
        <v>38183.500654221672</v>
      </c>
      <c r="Y16" s="204">
        <f t="shared" si="6"/>
        <v>38183.500654221672</v>
      </c>
      <c r="Z16" s="204">
        <f t="shared" si="6"/>
        <v>38183.500654221672</v>
      </c>
      <c r="AA16" s="204">
        <f t="shared" si="6"/>
        <v>38183.500654221672</v>
      </c>
      <c r="AB16" s="204">
        <f t="shared" si="6"/>
        <v>38183.500654221672</v>
      </c>
      <c r="AC16" s="204">
        <f t="shared" si="6"/>
        <v>38183.500654221672</v>
      </c>
      <c r="AD16" s="204">
        <f t="shared" si="6"/>
        <v>38183.500654221672</v>
      </c>
      <c r="AE16" s="204">
        <f>IF(AE$2&lt;=($B$2+$C$2+$D$2),IF(AE$2&lt;=($B$2+$C$2),IF(AE$2&lt;=$B$2,$B16,$C16),$D16),$E16)</f>
        <v>38183.500654221672</v>
      </c>
      <c r="AF16" s="204">
        <f t="shared" si="6"/>
        <v>38183.500654221672</v>
      </c>
      <c r="AG16" s="204">
        <f t="shared" si="6"/>
        <v>38183.500654221672</v>
      </c>
      <c r="AH16" s="204">
        <f t="shared" si="6"/>
        <v>38183.500654221672</v>
      </c>
      <c r="AI16" s="204">
        <f t="shared" si="6"/>
        <v>38183.500654221672</v>
      </c>
      <c r="AJ16" s="204">
        <f t="shared" si="6"/>
        <v>38183.500654221672</v>
      </c>
      <c r="AK16" s="204">
        <f t="shared" si="6"/>
        <v>38183.500654221672</v>
      </c>
      <c r="AL16" s="204">
        <f t="shared" si="7"/>
        <v>38183.500654221672</v>
      </c>
      <c r="AM16" s="204">
        <f t="shared" si="7"/>
        <v>38183.500654221672</v>
      </c>
      <c r="AN16" s="204">
        <f t="shared" si="7"/>
        <v>38183.500654221672</v>
      </c>
      <c r="AO16" s="204">
        <f t="shared" si="7"/>
        <v>38183.500654221672</v>
      </c>
      <c r="AP16" s="204">
        <f t="shared" si="7"/>
        <v>38183.500654221672</v>
      </c>
      <c r="AQ16" s="204">
        <f t="shared" si="7"/>
        <v>38183.500654221672</v>
      </c>
      <c r="AR16" s="204">
        <f t="shared" si="7"/>
        <v>38183.500654221672</v>
      </c>
      <c r="AS16" s="204">
        <f t="shared" si="7"/>
        <v>38183.500654221672</v>
      </c>
      <c r="AT16" s="204">
        <f t="shared" si="7"/>
        <v>38183.500654221672</v>
      </c>
      <c r="AU16" s="204">
        <f t="shared" si="7"/>
        <v>38183.500654221672</v>
      </c>
      <c r="AV16" s="204">
        <f t="shared" si="7"/>
        <v>38183.500654221672</v>
      </c>
      <c r="AW16" s="204">
        <f t="shared" si="7"/>
        <v>38183.500654221672</v>
      </c>
      <c r="AX16" s="204">
        <f t="shared" si="8"/>
        <v>38183.500654221672</v>
      </c>
      <c r="AY16" s="204">
        <f t="shared" si="8"/>
        <v>38183.500654221672</v>
      </c>
      <c r="AZ16" s="204">
        <f t="shared" si="8"/>
        <v>38183.500654221672</v>
      </c>
      <c r="BA16" s="204">
        <f t="shared" si="8"/>
        <v>80911.777300807051</v>
      </c>
      <c r="BB16" s="204">
        <f t="shared" si="8"/>
        <v>80911.777300807051</v>
      </c>
      <c r="BC16" s="204">
        <f t="shared" si="8"/>
        <v>80911.777300807051</v>
      </c>
      <c r="BD16" s="204">
        <f t="shared" si="8"/>
        <v>80911.777300807051</v>
      </c>
      <c r="BE16" s="204">
        <f t="shared" si="8"/>
        <v>80911.777300807051</v>
      </c>
      <c r="BF16" s="204">
        <f t="shared" si="8"/>
        <v>80911.777300807051</v>
      </c>
      <c r="BG16" s="204">
        <f t="shared" si="8"/>
        <v>80911.777300807051</v>
      </c>
      <c r="BH16" s="204">
        <f t="shared" si="8"/>
        <v>80911.777300807051</v>
      </c>
      <c r="BI16" s="204">
        <f t="shared" si="8"/>
        <v>80911.777300807051</v>
      </c>
      <c r="BJ16" s="204">
        <f t="shared" si="8"/>
        <v>80911.777300807051</v>
      </c>
      <c r="BK16" s="204">
        <f t="shared" si="8"/>
        <v>80911.777300807051</v>
      </c>
      <c r="BL16" s="204">
        <f t="shared" si="8"/>
        <v>80911.777300807051</v>
      </c>
      <c r="BM16" s="204">
        <f t="shared" si="8"/>
        <v>80911.777300807051</v>
      </c>
      <c r="BN16" s="204">
        <f t="shared" si="8"/>
        <v>80911.777300807051</v>
      </c>
      <c r="BO16" s="204">
        <f t="shared" si="8"/>
        <v>80911.777300807051</v>
      </c>
      <c r="BP16" s="204">
        <f t="shared" si="8"/>
        <v>80911.777300807051</v>
      </c>
      <c r="BQ16" s="204">
        <f t="shared" si="8"/>
        <v>80911.777300807051</v>
      </c>
      <c r="BR16" s="204">
        <f t="shared" si="8"/>
        <v>80911.777300807051</v>
      </c>
      <c r="BS16" s="204">
        <f t="shared" si="8"/>
        <v>80911.777300807051</v>
      </c>
      <c r="BT16" s="204">
        <f t="shared" si="8"/>
        <v>80911.777300807051</v>
      </c>
      <c r="BU16" s="204">
        <f t="shared" si="8"/>
        <v>80911.777300807051</v>
      </c>
      <c r="BV16" s="204">
        <f t="shared" si="8"/>
        <v>80911.777300807051</v>
      </c>
      <c r="BW16" s="204">
        <f t="shared" si="8"/>
        <v>80911.777300807051</v>
      </c>
      <c r="BX16" s="204">
        <f t="shared" si="8"/>
        <v>80911.777300807051</v>
      </c>
      <c r="BY16" s="204">
        <f t="shared" si="8"/>
        <v>80911.777300807051</v>
      </c>
      <c r="BZ16" s="204">
        <f t="shared" si="8"/>
        <v>112734.24402669565</v>
      </c>
      <c r="CA16" s="204">
        <f t="shared" ref="CA16:CB18" si="10">IF(CA$2&lt;=($B$2+$C$2+$D$2),IF(CA$2&lt;=($B$2+$C$2),IF(CA$2&lt;=$B$2,$B16,$C16),$D16),$E16)</f>
        <v>112734.24402669565</v>
      </c>
      <c r="CB16" s="204">
        <f t="shared" si="10"/>
        <v>112734.24402669565</v>
      </c>
      <c r="CC16" s="204">
        <f t="shared" si="9"/>
        <v>112734.24402669565</v>
      </c>
      <c r="CD16" s="204">
        <f t="shared" si="9"/>
        <v>112734.24402669565</v>
      </c>
      <c r="CE16" s="204">
        <f t="shared" si="9"/>
        <v>112734.24402669565</v>
      </c>
      <c r="CF16" s="204">
        <f t="shared" si="9"/>
        <v>112734.24402669565</v>
      </c>
      <c r="CG16" s="204">
        <f t="shared" si="9"/>
        <v>112734.24402669565</v>
      </c>
      <c r="CH16" s="204">
        <f t="shared" si="9"/>
        <v>112734.24402669565</v>
      </c>
      <c r="CI16" s="204">
        <f t="shared" si="9"/>
        <v>112734.24402669565</v>
      </c>
      <c r="CJ16" s="204">
        <f t="shared" si="9"/>
        <v>112734.24402669565</v>
      </c>
      <c r="CK16" s="204">
        <f t="shared" si="9"/>
        <v>112734.24402669565</v>
      </c>
      <c r="CL16" s="204">
        <f t="shared" si="9"/>
        <v>112734.24402669565</v>
      </c>
      <c r="CM16" s="204">
        <f t="shared" si="9"/>
        <v>112734.24402669565</v>
      </c>
      <c r="CN16" s="204">
        <f t="shared" si="9"/>
        <v>112734.24402669565</v>
      </c>
      <c r="CO16" s="204">
        <f t="shared" si="9"/>
        <v>112734.24402669565</v>
      </c>
      <c r="CP16" s="204">
        <f t="shared" si="9"/>
        <v>112734.24402669565</v>
      </c>
      <c r="CQ16" s="204">
        <f t="shared" si="9"/>
        <v>112734.24402669565</v>
      </c>
      <c r="CR16" s="204">
        <f t="shared" si="9"/>
        <v>458015.76939349907</v>
      </c>
      <c r="CS16" s="204">
        <f t="shared" ref="CS16:DA18" si="11">IF(CS$2&lt;=($B$2+$C$2+$D$2),IF(CS$2&lt;=($B$2+$C$2),IF(CS$2&lt;=$B$2,$B16,$C16),$D16),$E16)</f>
        <v>458015.76939349907</v>
      </c>
      <c r="CT16" s="204">
        <f t="shared" si="11"/>
        <v>458015.76939349907</v>
      </c>
      <c r="CU16" s="204">
        <f t="shared" si="11"/>
        <v>458015.76939349907</v>
      </c>
      <c r="CV16" s="204">
        <f t="shared" si="11"/>
        <v>458015.76939349907</v>
      </c>
      <c r="CW16" s="204">
        <f t="shared" si="11"/>
        <v>458015.76939349907</v>
      </c>
      <c r="CX16" s="204">
        <f t="shared" si="11"/>
        <v>458015.76939349907</v>
      </c>
      <c r="CY16" s="204">
        <f t="shared" si="11"/>
        <v>458015.76939349907</v>
      </c>
      <c r="CZ16" s="204">
        <f t="shared" si="11"/>
        <v>458015.76939349907</v>
      </c>
      <c r="DA16" s="204">
        <f t="shared" si="11"/>
        <v>458015.76939349907</v>
      </c>
      <c r="DB16" s="204"/>
    </row>
    <row r="17" spans="1:105">
      <c r="A17" s="201" t="s">
        <v>101</v>
      </c>
      <c r="B17" s="203">
        <f>Income!B89</f>
        <v>29946.919494373287</v>
      </c>
      <c r="C17" s="203">
        <f>Income!C89</f>
        <v>29946.919494373287</v>
      </c>
      <c r="D17" s="203">
        <f>Income!D89</f>
        <v>29946.919494373287</v>
      </c>
      <c r="E17" s="203">
        <f>Income!E89</f>
        <v>29946.919494373287</v>
      </c>
      <c r="F17" s="204">
        <f t="shared" si="4"/>
        <v>29946.919494373287</v>
      </c>
      <c r="G17" s="204">
        <f t="shared" si="4"/>
        <v>29946.919494373287</v>
      </c>
      <c r="H17" s="204">
        <f t="shared" si="4"/>
        <v>29946.919494373287</v>
      </c>
      <c r="I17" s="204">
        <f t="shared" si="4"/>
        <v>29946.919494373287</v>
      </c>
      <c r="J17" s="204">
        <f t="shared" si="4"/>
        <v>29946.919494373287</v>
      </c>
      <c r="K17" s="204">
        <f t="shared" si="4"/>
        <v>29946.919494373287</v>
      </c>
      <c r="L17" s="204">
        <f t="shared" si="4"/>
        <v>29946.919494373287</v>
      </c>
      <c r="M17" s="204">
        <f t="shared" si="4"/>
        <v>29946.919494373287</v>
      </c>
      <c r="N17" s="204">
        <f t="shared" si="4"/>
        <v>29946.919494373287</v>
      </c>
      <c r="O17" s="204">
        <f t="shared" si="4"/>
        <v>29946.919494373287</v>
      </c>
      <c r="P17" s="204">
        <f t="shared" si="4"/>
        <v>29946.919494373287</v>
      </c>
      <c r="Q17" s="204">
        <f t="shared" si="4"/>
        <v>29946.919494373287</v>
      </c>
      <c r="R17" s="204">
        <f t="shared" si="4"/>
        <v>29946.919494373287</v>
      </c>
      <c r="S17" s="204">
        <f t="shared" si="4"/>
        <v>29946.919494373287</v>
      </c>
      <c r="T17" s="204">
        <f t="shared" si="4"/>
        <v>29946.919494373287</v>
      </c>
      <c r="U17" s="204">
        <f t="shared" si="4"/>
        <v>29946.919494373287</v>
      </c>
      <c r="V17" s="204">
        <f t="shared" si="6"/>
        <v>29946.919494373287</v>
      </c>
      <c r="W17" s="204">
        <f t="shared" si="6"/>
        <v>29946.919494373287</v>
      </c>
      <c r="X17" s="204">
        <f t="shared" si="6"/>
        <v>29946.919494373287</v>
      </c>
      <c r="Y17" s="204">
        <f t="shared" si="6"/>
        <v>29946.919494373287</v>
      </c>
      <c r="Z17" s="204">
        <f t="shared" si="6"/>
        <v>29946.919494373287</v>
      </c>
      <c r="AA17" s="204">
        <f t="shared" si="6"/>
        <v>29946.919494373287</v>
      </c>
      <c r="AB17" s="204">
        <f t="shared" si="6"/>
        <v>29946.919494373287</v>
      </c>
      <c r="AC17" s="204">
        <f t="shared" si="6"/>
        <v>29946.919494373287</v>
      </c>
      <c r="AD17" s="204">
        <f t="shared" si="6"/>
        <v>29946.919494373287</v>
      </c>
      <c r="AE17" s="204">
        <f t="shared" si="6"/>
        <v>29946.919494373287</v>
      </c>
      <c r="AF17" s="204">
        <f t="shared" si="6"/>
        <v>29946.919494373287</v>
      </c>
      <c r="AG17" s="204">
        <f t="shared" si="6"/>
        <v>29946.919494373287</v>
      </c>
      <c r="AH17" s="204">
        <f t="shared" si="6"/>
        <v>29946.919494373287</v>
      </c>
      <c r="AI17" s="204">
        <f t="shared" si="6"/>
        <v>29946.919494373287</v>
      </c>
      <c r="AJ17" s="204">
        <f t="shared" si="6"/>
        <v>29946.919494373287</v>
      </c>
      <c r="AK17" s="204">
        <f t="shared" si="6"/>
        <v>29946.919494373287</v>
      </c>
      <c r="AL17" s="204">
        <f t="shared" si="7"/>
        <v>29946.919494373287</v>
      </c>
      <c r="AM17" s="204">
        <f t="shared" si="7"/>
        <v>29946.919494373287</v>
      </c>
      <c r="AN17" s="204">
        <f t="shared" si="7"/>
        <v>29946.919494373287</v>
      </c>
      <c r="AO17" s="204">
        <f t="shared" si="7"/>
        <v>29946.919494373287</v>
      </c>
      <c r="AP17" s="204">
        <f t="shared" si="7"/>
        <v>29946.919494373287</v>
      </c>
      <c r="AQ17" s="204">
        <f t="shared" si="7"/>
        <v>29946.919494373287</v>
      </c>
      <c r="AR17" s="204">
        <f t="shared" si="7"/>
        <v>29946.919494373287</v>
      </c>
      <c r="AS17" s="204">
        <f t="shared" si="7"/>
        <v>29946.919494373287</v>
      </c>
      <c r="AT17" s="204">
        <f t="shared" si="7"/>
        <v>29946.919494373287</v>
      </c>
      <c r="AU17" s="204">
        <f t="shared" si="7"/>
        <v>29946.919494373287</v>
      </c>
      <c r="AV17" s="204">
        <f t="shared" si="7"/>
        <v>29946.919494373287</v>
      </c>
      <c r="AW17" s="204">
        <f t="shared" si="7"/>
        <v>29946.919494373287</v>
      </c>
      <c r="AX17" s="204">
        <f t="shared" si="8"/>
        <v>29946.919494373287</v>
      </c>
      <c r="AY17" s="204">
        <f t="shared" si="8"/>
        <v>29946.919494373287</v>
      </c>
      <c r="AZ17" s="204">
        <f t="shared" si="8"/>
        <v>29946.919494373287</v>
      </c>
      <c r="BA17" s="204">
        <f t="shared" si="8"/>
        <v>29946.919494373287</v>
      </c>
      <c r="BB17" s="204">
        <f t="shared" si="8"/>
        <v>29946.919494373287</v>
      </c>
      <c r="BC17" s="204">
        <f t="shared" si="8"/>
        <v>29946.919494373287</v>
      </c>
      <c r="BD17" s="204">
        <f t="shared" si="8"/>
        <v>29946.919494373287</v>
      </c>
      <c r="BE17" s="204">
        <f t="shared" si="8"/>
        <v>29946.919494373287</v>
      </c>
      <c r="BF17" s="204">
        <f t="shared" si="8"/>
        <v>29946.919494373287</v>
      </c>
      <c r="BG17" s="204">
        <f t="shared" si="8"/>
        <v>29946.919494373287</v>
      </c>
      <c r="BH17" s="204">
        <f t="shared" si="8"/>
        <v>29946.919494373287</v>
      </c>
      <c r="BI17" s="204">
        <f t="shared" si="8"/>
        <v>29946.919494373287</v>
      </c>
      <c r="BJ17" s="204">
        <f t="shared" si="8"/>
        <v>29946.919494373287</v>
      </c>
      <c r="BK17" s="204">
        <f t="shared" si="8"/>
        <v>29946.919494373287</v>
      </c>
      <c r="BL17" s="204">
        <f t="shared" si="8"/>
        <v>29946.919494373287</v>
      </c>
      <c r="BM17" s="204">
        <f t="shared" si="8"/>
        <v>29946.919494373287</v>
      </c>
      <c r="BN17" s="204">
        <f t="shared" si="8"/>
        <v>29946.919494373287</v>
      </c>
      <c r="BO17" s="204">
        <f t="shared" si="8"/>
        <v>29946.919494373287</v>
      </c>
      <c r="BP17" s="204">
        <f t="shared" si="8"/>
        <v>29946.919494373287</v>
      </c>
      <c r="BQ17" s="204">
        <f t="shared" si="8"/>
        <v>29946.919494373287</v>
      </c>
      <c r="BR17" s="204">
        <f t="shared" si="8"/>
        <v>29946.919494373287</v>
      </c>
      <c r="BS17" s="204">
        <f t="shared" si="8"/>
        <v>29946.919494373287</v>
      </c>
      <c r="BT17" s="204">
        <f t="shared" si="8"/>
        <v>29946.919494373287</v>
      </c>
      <c r="BU17" s="204">
        <f t="shared" si="8"/>
        <v>29946.919494373287</v>
      </c>
      <c r="BV17" s="204">
        <f t="shared" si="8"/>
        <v>29946.919494373287</v>
      </c>
      <c r="BW17" s="204">
        <f t="shared" si="8"/>
        <v>29946.919494373287</v>
      </c>
      <c r="BX17" s="204">
        <f t="shared" si="8"/>
        <v>29946.919494373287</v>
      </c>
      <c r="BY17" s="204">
        <f t="shared" si="8"/>
        <v>29946.919494373287</v>
      </c>
      <c r="BZ17" s="204">
        <f t="shared" si="8"/>
        <v>29946.919494373287</v>
      </c>
      <c r="CA17" s="204">
        <f t="shared" si="10"/>
        <v>29946.919494373287</v>
      </c>
      <c r="CB17" s="204">
        <f t="shared" si="10"/>
        <v>29946.919494373287</v>
      </c>
      <c r="CC17" s="204">
        <f t="shared" si="9"/>
        <v>29946.919494373287</v>
      </c>
      <c r="CD17" s="204">
        <f t="shared" si="9"/>
        <v>29946.919494373287</v>
      </c>
      <c r="CE17" s="204">
        <f t="shared" si="9"/>
        <v>29946.919494373287</v>
      </c>
      <c r="CF17" s="204">
        <f t="shared" si="9"/>
        <v>29946.919494373287</v>
      </c>
      <c r="CG17" s="204">
        <f t="shared" si="9"/>
        <v>29946.919494373287</v>
      </c>
      <c r="CH17" s="204">
        <f t="shared" si="9"/>
        <v>29946.919494373287</v>
      </c>
      <c r="CI17" s="204">
        <f t="shared" si="9"/>
        <v>29946.919494373287</v>
      </c>
      <c r="CJ17" s="204">
        <f t="shared" si="9"/>
        <v>29946.919494373287</v>
      </c>
      <c r="CK17" s="204">
        <f t="shared" si="9"/>
        <v>29946.919494373287</v>
      </c>
      <c r="CL17" s="204">
        <f t="shared" si="9"/>
        <v>29946.919494373287</v>
      </c>
      <c r="CM17" s="204">
        <f t="shared" si="9"/>
        <v>29946.919494373287</v>
      </c>
      <c r="CN17" s="204">
        <f t="shared" si="9"/>
        <v>29946.919494373287</v>
      </c>
      <c r="CO17" s="204">
        <f t="shared" si="9"/>
        <v>29946.919494373287</v>
      </c>
      <c r="CP17" s="204">
        <f t="shared" si="9"/>
        <v>29946.919494373287</v>
      </c>
      <c r="CQ17" s="204">
        <f t="shared" si="9"/>
        <v>29946.919494373287</v>
      </c>
      <c r="CR17" s="204">
        <f t="shared" si="9"/>
        <v>29946.919494373287</v>
      </c>
      <c r="CS17" s="204">
        <f t="shared" si="11"/>
        <v>29946.919494373287</v>
      </c>
      <c r="CT17" s="204">
        <f t="shared" si="11"/>
        <v>29946.919494373287</v>
      </c>
      <c r="CU17" s="204">
        <f t="shared" si="11"/>
        <v>29946.919494373287</v>
      </c>
      <c r="CV17" s="204">
        <f t="shared" si="11"/>
        <v>29946.919494373287</v>
      </c>
      <c r="CW17" s="204">
        <f t="shared" si="11"/>
        <v>29946.919494373287</v>
      </c>
      <c r="CX17" s="204">
        <f t="shared" si="11"/>
        <v>29946.919494373287</v>
      </c>
      <c r="CY17" s="204">
        <f t="shared" si="11"/>
        <v>29946.919494373287</v>
      </c>
      <c r="CZ17" s="204">
        <f t="shared" si="11"/>
        <v>29946.919494373287</v>
      </c>
      <c r="DA17" s="204">
        <f t="shared" si="11"/>
        <v>29946.919494373287</v>
      </c>
    </row>
    <row r="18" spans="1:105">
      <c r="A18" s="201" t="s">
        <v>85</v>
      </c>
      <c r="B18" s="203">
        <f>Income!B90</f>
        <v>47026.260538266135</v>
      </c>
      <c r="C18" s="203">
        <f>Income!C90</f>
        <v>47026.26053826612</v>
      </c>
      <c r="D18" s="203">
        <f>Income!D90</f>
        <v>47026.26053826612</v>
      </c>
      <c r="E18" s="203">
        <f>Income!E90</f>
        <v>47026.260538266128</v>
      </c>
      <c r="F18" s="204">
        <f t="shared" ref="F18:U18" si="12">IF(F$2&lt;=($B$2+$C$2+$D$2),IF(F$2&lt;=($B$2+$C$2),IF(F$2&lt;=$B$2,$B18,$C18),$D18),$E18)</f>
        <v>47026.260538266135</v>
      </c>
      <c r="G18" s="204">
        <f t="shared" si="12"/>
        <v>47026.260538266135</v>
      </c>
      <c r="H18" s="204">
        <f t="shared" si="12"/>
        <v>47026.260538266135</v>
      </c>
      <c r="I18" s="204">
        <f t="shared" si="12"/>
        <v>47026.260538266135</v>
      </c>
      <c r="J18" s="204">
        <f t="shared" si="12"/>
        <v>47026.260538266135</v>
      </c>
      <c r="K18" s="204">
        <f t="shared" si="12"/>
        <v>47026.260538266135</v>
      </c>
      <c r="L18" s="204">
        <f t="shared" si="12"/>
        <v>47026.260538266135</v>
      </c>
      <c r="M18" s="204">
        <f t="shared" si="12"/>
        <v>47026.260538266135</v>
      </c>
      <c r="N18" s="204">
        <f t="shared" si="12"/>
        <v>47026.260538266135</v>
      </c>
      <c r="O18" s="204">
        <f t="shared" si="12"/>
        <v>47026.260538266135</v>
      </c>
      <c r="P18" s="204">
        <f t="shared" si="12"/>
        <v>47026.260538266135</v>
      </c>
      <c r="Q18" s="204">
        <f t="shared" si="12"/>
        <v>47026.260538266135</v>
      </c>
      <c r="R18" s="204">
        <f t="shared" si="12"/>
        <v>47026.260538266135</v>
      </c>
      <c r="S18" s="204">
        <f t="shared" si="12"/>
        <v>47026.260538266135</v>
      </c>
      <c r="T18" s="204">
        <f t="shared" si="12"/>
        <v>47026.260538266135</v>
      </c>
      <c r="U18" s="204">
        <f t="shared" si="12"/>
        <v>47026.260538266135</v>
      </c>
      <c r="V18" s="204">
        <f t="shared" si="6"/>
        <v>47026.260538266135</v>
      </c>
      <c r="W18" s="204">
        <f t="shared" si="6"/>
        <v>47026.260538266135</v>
      </c>
      <c r="X18" s="204">
        <f t="shared" si="6"/>
        <v>47026.260538266135</v>
      </c>
      <c r="Y18" s="204">
        <f t="shared" si="6"/>
        <v>47026.260538266135</v>
      </c>
      <c r="Z18" s="204">
        <f t="shared" si="6"/>
        <v>47026.260538266135</v>
      </c>
      <c r="AA18" s="204">
        <f t="shared" si="6"/>
        <v>47026.260538266135</v>
      </c>
      <c r="AB18" s="204">
        <f t="shared" si="6"/>
        <v>47026.260538266135</v>
      </c>
      <c r="AC18" s="204">
        <f t="shared" si="6"/>
        <v>47026.260538266135</v>
      </c>
      <c r="AD18" s="204">
        <f t="shared" si="6"/>
        <v>47026.260538266135</v>
      </c>
      <c r="AE18" s="204">
        <f t="shared" si="6"/>
        <v>47026.260538266135</v>
      </c>
      <c r="AF18" s="204">
        <f t="shared" si="6"/>
        <v>47026.260538266135</v>
      </c>
      <c r="AG18" s="204">
        <f t="shared" si="6"/>
        <v>47026.260538266135</v>
      </c>
      <c r="AH18" s="204">
        <f t="shared" si="6"/>
        <v>47026.260538266135</v>
      </c>
      <c r="AI18" s="204">
        <f t="shared" si="6"/>
        <v>47026.260538266135</v>
      </c>
      <c r="AJ18" s="204">
        <f t="shared" si="6"/>
        <v>47026.260538266135</v>
      </c>
      <c r="AK18" s="204">
        <f t="shared" si="6"/>
        <v>47026.260538266135</v>
      </c>
      <c r="AL18" s="204">
        <f t="shared" si="7"/>
        <v>47026.260538266135</v>
      </c>
      <c r="AM18" s="204">
        <f t="shared" si="7"/>
        <v>47026.260538266135</v>
      </c>
      <c r="AN18" s="204">
        <f t="shared" si="7"/>
        <v>47026.260538266135</v>
      </c>
      <c r="AO18" s="204">
        <f t="shared" si="7"/>
        <v>47026.260538266135</v>
      </c>
      <c r="AP18" s="204">
        <f t="shared" si="7"/>
        <v>47026.260538266135</v>
      </c>
      <c r="AQ18" s="204">
        <f t="shared" si="7"/>
        <v>47026.260538266135</v>
      </c>
      <c r="AR18" s="204">
        <f t="shared" si="7"/>
        <v>47026.260538266135</v>
      </c>
      <c r="AS18" s="204">
        <f t="shared" si="7"/>
        <v>47026.260538266135</v>
      </c>
      <c r="AT18" s="204">
        <f t="shared" si="7"/>
        <v>47026.260538266135</v>
      </c>
      <c r="AU18" s="204">
        <f t="shared" si="7"/>
        <v>47026.260538266135</v>
      </c>
      <c r="AV18" s="204">
        <f t="shared" si="7"/>
        <v>47026.260538266135</v>
      </c>
      <c r="AW18" s="204">
        <f t="shared" si="7"/>
        <v>47026.260538266135</v>
      </c>
      <c r="AX18" s="204">
        <f t="shared" si="8"/>
        <v>47026.260538266135</v>
      </c>
      <c r="AY18" s="204">
        <f t="shared" si="8"/>
        <v>47026.260538266135</v>
      </c>
      <c r="AZ18" s="204">
        <f t="shared" si="8"/>
        <v>47026.260538266135</v>
      </c>
      <c r="BA18" s="204">
        <f t="shared" si="8"/>
        <v>47026.26053826612</v>
      </c>
      <c r="BB18" s="204">
        <f t="shared" si="8"/>
        <v>47026.26053826612</v>
      </c>
      <c r="BC18" s="204">
        <f t="shared" si="8"/>
        <v>47026.26053826612</v>
      </c>
      <c r="BD18" s="204">
        <f t="shared" si="8"/>
        <v>47026.26053826612</v>
      </c>
      <c r="BE18" s="204">
        <f t="shared" si="8"/>
        <v>47026.26053826612</v>
      </c>
      <c r="BF18" s="204">
        <f t="shared" si="8"/>
        <v>47026.26053826612</v>
      </c>
      <c r="BG18" s="204">
        <f t="shared" si="8"/>
        <v>47026.26053826612</v>
      </c>
      <c r="BH18" s="204">
        <f t="shared" si="8"/>
        <v>47026.26053826612</v>
      </c>
      <c r="BI18" s="204">
        <f t="shared" si="8"/>
        <v>47026.26053826612</v>
      </c>
      <c r="BJ18" s="204">
        <f t="shared" si="8"/>
        <v>47026.26053826612</v>
      </c>
      <c r="BK18" s="204">
        <f t="shared" si="8"/>
        <v>47026.26053826612</v>
      </c>
      <c r="BL18" s="204">
        <f t="shared" ref="BL18:BZ18" si="13">IF(BL$2&lt;=($B$2+$C$2+$D$2),IF(BL$2&lt;=($B$2+$C$2),IF(BL$2&lt;=$B$2,$B18,$C18),$D18),$E18)</f>
        <v>47026.26053826612</v>
      </c>
      <c r="BM18" s="204">
        <f t="shared" si="13"/>
        <v>47026.26053826612</v>
      </c>
      <c r="BN18" s="204">
        <f t="shared" si="13"/>
        <v>47026.26053826612</v>
      </c>
      <c r="BO18" s="204">
        <f t="shared" si="13"/>
        <v>47026.26053826612</v>
      </c>
      <c r="BP18" s="204">
        <f t="shared" si="13"/>
        <v>47026.26053826612</v>
      </c>
      <c r="BQ18" s="204">
        <f t="shared" si="13"/>
        <v>47026.26053826612</v>
      </c>
      <c r="BR18" s="204">
        <f t="shared" si="13"/>
        <v>47026.26053826612</v>
      </c>
      <c r="BS18" s="204">
        <f t="shared" si="13"/>
        <v>47026.26053826612</v>
      </c>
      <c r="BT18" s="204">
        <f t="shared" si="13"/>
        <v>47026.26053826612</v>
      </c>
      <c r="BU18" s="204">
        <f t="shared" si="13"/>
        <v>47026.26053826612</v>
      </c>
      <c r="BV18" s="204">
        <f t="shared" si="13"/>
        <v>47026.26053826612</v>
      </c>
      <c r="BW18" s="204">
        <f t="shared" si="13"/>
        <v>47026.26053826612</v>
      </c>
      <c r="BX18" s="204">
        <f t="shared" si="13"/>
        <v>47026.26053826612</v>
      </c>
      <c r="BY18" s="204">
        <f t="shared" si="13"/>
        <v>47026.26053826612</v>
      </c>
      <c r="BZ18" s="204">
        <f t="shared" si="13"/>
        <v>47026.26053826612</v>
      </c>
      <c r="CA18" s="204">
        <f t="shared" si="10"/>
        <v>47026.26053826612</v>
      </c>
      <c r="CB18" s="204">
        <f t="shared" si="10"/>
        <v>47026.26053826612</v>
      </c>
      <c r="CC18" s="204">
        <f t="shared" si="9"/>
        <v>47026.26053826612</v>
      </c>
      <c r="CD18" s="204">
        <f t="shared" si="9"/>
        <v>47026.26053826612</v>
      </c>
      <c r="CE18" s="204">
        <f t="shared" si="9"/>
        <v>47026.26053826612</v>
      </c>
      <c r="CF18" s="204">
        <f t="shared" si="9"/>
        <v>47026.26053826612</v>
      </c>
      <c r="CG18" s="204">
        <f t="shared" si="9"/>
        <v>47026.26053826612</v>
      </c>
      <c r="CH18" s="204">
        <f t="shared" si="9"/>
        <v>47026.26053826612</v>
      </c>
      <c r="CI18" s="204">
        <f t="shared" si="9"/>
        <v>47026.26053826612</v>
      </c>
      <c r="CJ18" s="204">
        <f t="shared" si="9"/>
        <v>47026.26053826612</v>
      </c>
      <c r="CK18" s="204">
        <f t="shared" si="9"/>
        <v>47026.26053826612</v>
      </c>
      <c r="CL18" s="204">
        <f t="shared" si="9"/>
        <v>47026.26053826612</v>
      </c>
      <c r="CM18" s="204">
        <f t="shared" si="9"/>
        <v>47026.26053826612</v>
      </c>
      <c r="CN18" s="204">
        <f t="shared" si="9"/>
        <v>47026.26053826612</v>
      </c>
      <c r="CO18" s="204">
        <f t="shared" si="9"/>
        <v>47026.26053826612</v>
      </c>
      <c r="CP18" s="204">
        <f t="shared" si="9"/>
        <v>47026.26053826612</v>
      </c>
      <c r="CQ18" s="204">
        <f t="shared" si="9"/>
        <v>47026.26053826612</v>
      </c>
      <c r="CR18" s="204">
        <f t="shared" si="9"/>
        <v>47026.260538266128</v>
      </c>
      <c r="CS18" s="204">
        <f t="shared" si="11"/>
        <v>47026.260538266128</v>
      </c>
      <c r="CT18" s="204">
        <f t="shared" si="11"/>
        <v>47026.260538266128</v>
      </c>
      <c r="CU18" s="204">
        <f t="shared" si="11"/>
        <v>47026.260538266128</v>
      </c>
      <c r="CV18" s="204">
        <f t="shared" si="11"/>
        <v>47026.260538266128</v>
      </c>
      <c r="CW18" s="204">
        <f t="shared" si="11"/>
        <v>47026.260538266128</v>
      </c>
      <c r="CX18" s="204">
        <f t="shared" si="11"/>
        <v>47026.260538266128</v>
      </c>
      <c r="CY18" s="204">
        <f t="shared" si="11"/>
        <v>47026.260538266128</v>
      </c>
      <c r="CZ18" s="204">
        <f t="shared" si="11"/>
        <v>47026.260538266128</v>
      </c>
      <c r="DA18" s="204">
        <f t="shared" si="11"/>
        <v>47026.260538266128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38776.948940979804</v>
      </c>
      <c r="AE19" s="201">
        <f t="shared" si="14"/>
        <v>39963.845514496061</v>
      </c>
      <c r="AF19" s="201">
        <f t="shared" si="14"/>
        <v>41150.742088012325</v>
      </c>
      <c r="AG19" s="201">
        <f t="shared" si="14"/>
        <v>42337.638661528588</v>
      </c>
      <c r="AH19" s="201">
        <f t="shared" si="14"/>
        <v>43524.535235044845</v>
      </c>
      <c r="AI19" s="201">
        <f t="shared" si="14"/>
        <v>44711.431808561108</v>
      </c>
      <c r="AJ19" s="201">
        <f t="shared" si="14"/>
        <v>45898.328382077365</v>
      </c>
      <c r="AK19" s="201">
        <f t="shared" si="14"/>
        <v>47085.224955593629</v>
      </c>
      <c r="AL19" s="201">
        <f t="shared" si="14"/>
        <v>48272.121529109885</v>
      </c>
      <c r="AM19" s="201">
        <f t="shared" si="14"/>
        <v>49459.018102626149</v>
      </c>
      <c r="AN19" s="201">
        <f t="shared" si="14"/>
        <v>50645.914676142405</v>
      </c>
      <c r="AO19" s="201">
        <f t="shared" si="14"/>
        <v>51832.811249658669</v>
      </c>
      <c r="AP19" s="201">
        <f t="shared" si="14"/>
        <v>53019.707823174933</v>
      </c>
      <c r="AQ19" s="201">
        <f t="shared" si="14"/>
        <v>54206.604396691189</v>
      </c>
      <c r="AR19" s="201">
        <f t="shared" si="14"/>
        <v>55393.500970207446</v>
      </c>
      <c r="AS19" s="201">
        <f t="shared" si="14"/>
        <v>56580.39754372371</v>
      </c>
      <c r="AT19" s="201">
        <f t="shared" si="14"/>
        <v>57767.294117239973</v>
      </c>
      <c r="AU19" s="201">
        <f t="shared" si="14"/>
        <v>58954.190690756237</v>
      </c>
      <c r="AV19" s="201">
        <f t="shared" si="14"/>
        <v>60141.087264272493</v>
      </c>
      <c r="AW19" s="201">
        <f t="shared" si="14"/>
        <v>61327.98383778875</v>
      </c>
      <c r="AX19" s="201">
        <f t="shared" si="14"/>
        <v>62514.880411305014</v>
      </c>
      <c r="AY19" s="201">
        <f t="shared" si="14"/>
        <v>63701.776984821277</v>
      </c>
      <c r="AZ19" s="201">
        <f t="shared" si="14"/>
        <v>64888.673558337534</v>
      </c>
      <c r="BA19" s="201">
        <f t="shared" si="14"/>
        <v>66075.57013185379</v>
      </c>
      <c r="BB19" s="201">
        <f t="shared" si="14"/>
        <v>67262.466705370054</v>
      </c>
      <c r="BC19" s="201">
        <f t="shared" si="14"/>
        <v>68449.363278886318</v>
      </c>
      <c r="BD19" s="201">
        <f t="shared" si="14"/>
        <v>69636.259852402582</v>
      </c>
      <c r="BE19" s="201">
        <f t="shared" si="14"/>
        <v>70823.156425918831</v>
      </c>
      <c r="BF19" s="201">
        <f t="shared" si="14"/>
        <v>72010.052999435109</v>
      </c>
      <c r="BG19" s="201">
        <f t="shared" si="14"/>
        <v>73196.949572951358</v>
      </c>
      <c r="BH19" s="201">
        <f t="shared" si="14"/>
        <v>74383.846146467622</v>
      </c>
      <c r="BI19" s="201">
        <f t="shared" si="14"/>
        <v>75570.742719983886</v>
      </c>
      <c r="BJ19" s="201">
        <f t="shared" si="14"/>
        <v>76757.639293500135</v>
      </c>
      <c r="BK19" s="201">
        <f t="shared" si="14"/>
        <v>77944.535867016399</v>
      </c>
      <c r="BL19" s="201">
        <f t="shared" si="14"/>
        <v>79131.432440532662</v>
      </c>
      <c r="BM19" s="201">
        <f t="shared" si="14"/>
        <v>80318.329014048912</v>
      </c>
      <c r="BN19" s="201">
        <f t="shared" si="14"/>
        <v>81651.834666525392</v>
      </c>
      <c r="BO19" s="201">
        <f t="shared" si="14"/>
        <v>83131.949397962075</v>
      </c>
      <c r="BP19" s="201">
        <f t="shared" si="14"/>
        <v>84612.064129398743</v>
      </c>
      <c r="BQ19" s="201">
        <f t="shared" si="14"/>
        <v>86092.178860835425</v>
      </c>
      <c r="BR19" s="201">
        <f t="shared" si="14"/>
        <v>87572.293592272108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89052.408323708791</v>
      </c>
      <c r="BT19" s="201">
        <f t="shared" si="15"/>
        <v>90532.523055145459</v>
      </c>
      <c r="BU19" s="201">
        <f t="shared" si="15"/>
        <v>92012.637786582141</v>
      </c>
      <c r="BV19" s="201">
        <f t="shared" si="15"/>
        <v>93492.752518018824</v>
      </c>
      <c r="BW19" s="201">
        <f t="shared" si="15"/>
        <v>94972.867249455507</v>
      </c>
      <c r="BX19" s="201">
        <f t="shared" si="15"/>
        <v>96452.981980892189</v>
      </c>
      <c r="BY19" s="201">
        <f t="shared" si="15"/>
        <v>97933.096712328857</v>
      </c>
      <c r="BZ19" s="201">
        <f t="shared" si="15"/>
        <v>99413.21144376554</v>
      </c>
      <c r="CA19" s="201">
        <f t="shared" si="15"/>
        <v>100893.32617520222</v>
      </c>
      <c r="CB19" s="201">
        <f t="shared" si="15"/>
        <v>102373.44090663889</v>
      </c>
      <c r="CC19" s="201">
        <f t="shared" si="15"/>
        <v>103853.55563807557</v>
      </c>
      <c r="CD19" s="201">
        <f t="shared" si="15"/>
        <v>105333.67036951226</v>
      </c>
      <c r="CE19" s="201">
        <f t="shared" si="15"/>
        <v>106813.78510094894</v>
      </c>
      <c r="CF19" s="201">
        <f t="shared" si="15"/>
        <v>108293.89983238562</v>
      </c>
      <c r="CG19" s="201">
        <f t="shared" si="15"/>
        <v>109774.0145638223</v>
      </c>
      <c r="CH19" s="201">
        <f t="shared" si="15"/>
        <v>111254.12929525897</v>
      </c>
      <c r="CI19" s="201">
        <f t="shared" si="15"/>
        <v>112734.24402669565</v>
      </c>
      <c r="CJ19" s="201">
        <f t="shared" si="15"/>
        <v>137397.21012432448</v>
      </c>
      <c r="CK19" s="201">
        <f t="shared" si="15"/>
        <v>162060.1762219533</v>
      </c>
      <c r="CL19" s="201">
        <f t="shared" si="15"/>
        <v>186723.14231958211</v>
      </c>
      <c r="CM19" s="201">
        <f t="shared" si="15"/>
        <v>211386.10841721093</v>
      </c>
      <c r="CN19" s="201">
        <f t="shared" si="15"/>
        <v>236049.07451483974</v>
      </c>
      <c r="CO19" s="201">
        <f t="shared" si="15"/>
        <v>260712.04061246855</v>
      </c>
      <c r="CP19" s="201">
        <f t="shared" si="15"/>
        <v>285375.00671009737</v>
      </c>
      <c r="CQ19" s="201">
        <f t="shared" si="15"/>
        <v>310037.97280772618</v>
      </c>
      <c r="CR19" s="201">
        <f t="shared" si="15"/>
        <v>334700.938905355</v>
      </c>
      <c r="CS19" s="201">
        <f t="shared" si="15"/>
        <v>359363.90500298381</v>
      </c>
      <c r="CT19" s="201">
        <f t="shared" si="15"/>
        <v>384026.87110061263</v>
      </c>
      <c r="CU19" s="201">
        <f t="shared" si="15"/>
        <v>408689.83719824144</v>
      </c>
      <c r="CV19" s="201">
        <f t="shared" si="15"/>
        <v>433352.80329587025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1337.5451015125855</v>
      </c>
      <c r="C25" s="203">
        <f>Income!C72</f>
        <v>3118.0618548200514</v>
      </c>
      <c r="D25" s="203">
        <f>Income!D72</f>
        <v>3694.6030970263287</v>
      </c>
      <c r="E25" s="203">
        <f>Income!E72</f>
        <v>2463.542925912378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1337.5451015125855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1337.5451015125855</v>
      </c>
      <c r="H25" s="210">
        <f t="shared" si="16"/>
        <v>1337.5451015125855</v>
      </c>
      <c r="I25" s="210">
        <f t="shared" si="16"/>
        <v>1337.5451015125855</v>
      </c>
      <c r="J25" s="210">
        <f t="shared" si="16"/>
        <v>1337.5451015125855</v>
      </c>
      <c r="K25" s="210">
        <f t="shared" si="16"/>
        <v>1337.5451015125855</v>
      </c>
      <c r="L25" s="210">
        <f t="shared" si="16"/>
        <v>1337.5451015125855</v>
      </c>
      <c r="M25" s="210">
        <f t="shared" si="16"/>
        <v>1337.5451015125855</v>
      </c>
      <c r="N25" s="210">
        <f t="shared" si="16"/>
        <v>1337.5451015125855</v>
      </c>
      <c r="O25" s="210">
        <f t="shared" si="16"/>
        <v>1337.5451015125855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1337.5451015125855</v>
      </c>
      <c r="Q25" s="210">
        <f t="shared" si="17"/>
        <v>1337.5451015125855</v>
      </c>
      <c r="R25" s="210">
        <f t="shared" si="17"/>
        <v>1337.5451015125855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1337.5451015125855</v>
      </c>
      <c r="T25" s="210">
        <f t="shared" si="17"/>
        <v>1337.5451015125855</v>
      </c>
      <c r="U25" s="210">
        <f t="shared" si="17"/>
        <v>1337.5451015125855</v>
      </c>
      <c r="V25" s="210">
        <f t="shared" si="17"/>
        <v>1337.5451015125855</v>
      </c>
      <c r="W25" s="210">
        <f t="shared" si="17"/>
        <v>1337.5451015125855</v>
      </c>
      <c r="X25" s="210">
        <f t="shared" si="17"/>
        <v>1337.5451015125855</v>
      </c>
      <c r="Y25" s="210">
        <f t="shared" si="17"/>
        <v>1337.5451015125855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1337.5451015125855</v>
      </c>
      <c r="AA25" s="210">
        <f t="shared" si="18"/>
        <v>1337.5451015125855</v>
      </c>
      <c r="AB25" s="210">
        <f t="shared" si="18"/>
        <v>1337.5451015125855</v>
      </c>
      <c r="AC25" s="210">
        <f t="shared" si="18"/>
        <v>1337.5451015125855</v>
      </c>
      <c r="AD25" s="210">
        <f t="shared" si="18"/>
        <v>1362.2745008640779</v>
      </c>
      <c r="AE25" s="210">
        <f t="shared" si="18"/>
        <v>1411.7332995670631</v>
      </c>
      <c r="AF25" s="210">
        <f t="shared" si="18"/>
        <v>1461.1920982700483</v>
      </c>
      <c r="AG25" s="210">
        <f t="shared" si="18"/>
        <v>1510.6508969730335</v>
      </c>
      <c r="AH25" s="210">
        <f t="shared" si="18"/>
        <v>1560.1096956760186</v>
      </c>
      <c r="AI25" s="210">
        <f t="shared" si="18"/>
        <v>1609.5684943790038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1659.027293081989</v>
      </c>
      <c r="AK25" s="210">
        <f t="shared" si="19"/>
        <v>1708.4860917849742</v>
      </c>
      <c r="AL25" s="210">
        <f t="shared" si="19"/>
        <v>1757.9448904879594</v>
      </c>
      <c r="AM25" s="210">
        <f t="shared" si="19"/>
        <v>1807.4036891909445</v>
      </c>
      <c r="AN25" s="210">
        <f t="shared" si="19"/>
        <v>1856.8624878939297</v>
      </c>
      <c r="AO25" s="210">
        <f t="shared" si="19"/>
        <v>1906.3212865969149</v>
      </c>
      <c r="AP25" s="210">
        <f t="shared" si="19"/>
        <v>1955.7800852999001</v>
      </c>
      <c r="AQ25" s="210">
        <f t="shared" si="19"/>
        <v>2005.2388840028852</v>
      </c>
      <c r="AR25" s="210">
        <f t="shared" si="19"/>
        <v>2054.6976827058702</v>
      </c>
      <c r="AS25" s="210">
        <f t="shared" si="19"/>
        <v>2104.1564814088556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2153.6152801118405</v>
      </c>
      <c r="AU25" s="210">
        <f t="shared" si="20"/>
        <v>2203.074078814826</v>
      </c>
      <c r="AV25" s="210">
        <f t="shared" si="20"/>
        <v>2252.5328775178109</v>
      </c>
      <c r="AW25" s="210">
        <f t="shared" si="20"/>
        <v>2301.9916762207963</v>
      </c>
      <c r="AX25" s="210">
        <f t="shared" si="20"/>
        <v>2351.4504749237813</v>
      </c>
      <c r="AY25" s="210">
        <f t="shared" si="20"/>
        <v>2400.9092736267667</v>
      </c>
      <c r="AZ25" s="210">
        <f t="shared" si="20"/>
        <v>2450.3680723297521</v>
      </c>
      <c r="BA25" s="210">
        <f t="shared" si="20"/>
        <v>2499.8268710327366</v>
      </c>
      <c r="BB25" s="210">
        <f t="shared" si="20"/>
        <v>2549.285669735722</v>
      </c>
      <c r="BC25" s="210">
        <f t="shared" si="20"/>
        <v>2598.7444684387074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2648.2032671416923</v>
      </c>
      <c r="BE25" s="210">
        <f t="shared" si="21"/>
        <v>2697.6620658446773</v>
      </c>
      <c r="BF25" s="210">
        <f t="shared" si="21"/>
        <v>2747.1208645476627</v>
      </c>
      <c r="BG25" s="210">
        <f t="shared" si="21"/>
        <v>2796.5796632506481</v>
      </c>
      <c r="BH25" s="210">
        <f t="shared" si="21"/>
        <v>2846.038461953633</v>
      </c>
      <c r="BI25" s="210">
        <f t="shared" si="21"/>
        <v>2895.497260656618</v>
      </c>
      <c r="BJ25" s="210">
        <f t="shared" si="21"/>
        <v>2944.9560593596034</v>
      </c>
      <c r="BK25" s="210">
        <f t="shared" si="21"/>
        <v>2994.4148580625888</v>
      </c>
      <c r="BL25" s="210">
        <f t="shared" si="21"/>
        <v>3043.8736567655733</v>
      </c>
      <c r="BM25" s="210">
        <f t="shared" si="21"/>
        <v>3093.3324554685587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3131.4697906853135</v>
      </c>
      <c r="BO25" s="210">
        <f t="shared" si="22"/>
        <v>3158.285662415838</v>
      </c>
      <c r="BP25" s="210">
        <f t="shared" si="22"/>
        <v>3185.1015341463626</v>
      </c>
      <c r="BQ25" s="210">
        <f t="shared" si="22"/>
        <v>3211.9174058768872</v>
      </c>
      <c r="BR25" s="210">
        <f t="shared" si="22"/>
        <v>3238.7332776074118</v>
      </c>
      <c r="BS25" s="210">
        <f t="shared" si="22"/>
        <v>3265.5491493379363</v>
      </c>
      <c r="BT25" s="210">
        <f t="shared" si="22"/>
        <v>3292.3650210684609</v>
      </c>
      <c r="BU25" s="210">
        <f t="shared" si="22"/>
        <v>3319.1808927989855</v>
      </c>
      <c r="BV25" s="210">
        <f t="shared" si="22"/>
        <v>3345.9967645295096</v>
      </c>
      <c r="BW25" s="210">
        <f t="shared" si="22"/>
        <v>3372.8126362600342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3399.6285079905588</v>
      </c>
      <c r="BY25" s="210">
        <f t="shared" si="23"/>
        <v>3426.4443797210834</v>
      </c>
      <c r="BZ25" s="210">
        <f t="shared" si="23"/>
        <v>3453.2602514516079</v>
      </c>
      <c r="CA25" s="210">
        <f t="shared" si="23"/>
        <v>3480.0761231821325</v>
      </c>
      <c r="CB25" s="210">
        <f t="shared" si="23"/>
        <v>3506.8919949126571</v>
      </c>
      <c r="CC25" s="210">
        <f t="shared" si="23"/>
        <v>3533.7078666431817</v>
      </c>
      <c r="CD25" s="210">
        <f t="shared" si="23"/>
        <v>3560.5237383737058</v>
      </c>
      <c r="CE25" s="210">
        <f t="shared" si="23"/>
        <v>3587.3396101042308</v>
      </c>
      <c r="CF25" s="210">
        <f t="shared" si="23"/>
        <v>3614.1554818347549</v>
      </c>
      <c r="CG25" s="210">
        <f t="shared" si="23"/>
        <v>3640.9713535652795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3667.7872252958041</v>
      </c>
      <c r="CI25" s="210">
        <f t="shared" si="24"/>
        <v>3694.6030970263287</v>
      </c>
      <c r="CJ25" s="210">
        <f t="shared" si="24"/>
        <v>3606.6702276610463</v>
      </c>
      <c r="CK25" s="210">
        <f t="shared" si="24"/>
        <v>3518.7373582957644</v>
      </c>
      <c r="CL25" s="210">
        <f t="shared" si="24"/>
        <v>3430.804488930482</v>
      </c>
      <c r="CM25" s="210">
        <f t="shared" si="24"/>
        <v>3342.8716195652</v>
      </c>
      <c r="CN25" s="210">
        <f t="shared" si="24"/>
        <v>3254.9387501999176</v>
      </c>
      <c r="CO25" s="210">
        <f t="shared" si="24"/>
        <v>3167.0058808346357</v>
      </c>
      <c r="CP25" s="210">
        <f t="shared" si="24"/>
        <v>3079.0730114693533</v>
      </c>
      <c r="CQ25" s="210">
        <f t="shared" si="24"/>
        <v>2991.1401421040709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2903.207272738789</v>
      </c>
      <c r="CS25" s="210">
        <f t="shared" si="25"/>
        <v>2815.2744033735066</v>
      </c>
      <c r="CT25" s="210">
        <f t="shared" si="25"/>
        <v>2727.3415340082247</v>
      </c>
      <c r="CU25" s="210">
        <f t="shared" si="25"/>
        <v>2639.4086646429423</v>
      </c>
      <c r="CV25" s="210">
        <f t="shared" si="25"/>
        <v>2551.4757952776599</v>
      </c>
      <c r="CW25" s="210">
        <f t="shared" si="25"/>
        <v>2463.5429259123775</v>
      </c>
      <c r="CX25" s="210">
        <f t="shared" si="25"/>
        <v>2463.542925912378</v>
      </c>
      <c r="CY25" s="210">
        <f t="shared" si="25"/>
        <v>2463.542925912378</v>
      </c>
      <c r="CZ25" s="210">
        <f t="shared" si="25"/>
        <v>2463.542925912378</v>
      </c>
      <c r="DA25" s="210">
        <f t="shared" si="25"/>
        <v>2463.542925912378</v>
      </c>
    </row>
    <row r="26" spans="1:105">
      <c r="A26" s="201" t="str">
        <f>Income!A73</f>
        <v>Own crops sold</v>
      </c>
      <c r="B26" s="203">
        <f>Income!B73</f>
        <v>1115.2400000000002</v>
      </c>
      <c r="C26" s="203">
        <f>Income!C73</f>
        <v>2996</v>
      </c>
      <c r="D26" s="203">
        <f>Income!D73</f>
        <v>6020</v>
      </c>
      <c r="E26" s="203">
        <f>Income!E73</f>
        <v>15516.666666666666</v>
      </c>
      <c r="F26" s="210">
        <f t="shared" si="16"/>
        <v>1115.2400000000002</v>
      </c>
      <c r="G26" s="210">
        <f t="shared" si="16"/>
        <v>1115.2400000000002</v>
      </c>
      <c r="H26" s="210">
        <f t="shared" si="16"/>
        <v>1115.2400000000002</v>
      </c>
      <c r="I26" s="210">
        <f t="shared" si="16"/>
        <v>1115.2400000000002</v>
      </c>
      <c r="J26" s="210">
        <f t="shared" si="16"/>
        <v>1115.2400000000002</v>
      </c>
      <c r="K26" s="210">
        <f t="shared" si="16"/>
        <v>1115.2400000000002</v>
      </c>
      <c r="L26" s="210">
        <f t="shared" si="16"/>
        <v>1115.2400000000002</v>
      </c>
      <c r="M26" s="210">
        <f t="shared" si="16"/>
        <v>1115.2400000000002</v>
      </c>
      <c r="N26" s="210">
        <f t="shared" si="16"/>
        <v>1115.2400000000002</v>
      </c>
      <c r="O26" s="210">
        <f t="shared" si="16"/>
        <v>1115.2400000000002</v>
      </c>
      <c r="P26" s="210">
        <f t="shared" si="17"/>
        <v>1115.2400000000002</v>
      </c>
      <c r="Q26" s="210">
        <f t="shared" si="17"/>
        <v>1115.2400000000002</v>
      </c>
      <c r="R26" s="210">
        <f t="shared" si="17"/>
        <v>1115.2400000000002</v>
      </c>
      <c r="S26" s="210">
        <f t="shared" si="17"/>
        <v>1115.2400000000002</v>
      </c>
      <c r="T26" s="210">
        <f t="shared" si="17"/>
        <v>1115.2400000000002</v>
      </c>
      <c r="U26" s="210">
        <f t="shared" si="17"/>
        <v>1115.2400000000002</v>
      </c>
      <c r="V26" s="210">
        <f t="shared" si="17"/>
        <v>1115.2400000000002</v>
      </c>
      <c r="W26" s="210">
        <f t="shared" si="17"/>
        <v>1115.2400000000002</v>
      </c>
      <c r="X26" s="210">
        <f t="shared" si="17"/>
        <v>1115.2400000000002</v>
      </c>
      <c r="Y26" s="210">
        <f t="shared" si="17"/>
        <v>1115.2400000000002</v>
      </c>
      <c r="Z26" s="210">
        <f t="shared" si="18"/>
        <v>1115.2400000000002</v>
      </c>
      <c r="AA26" s="210">
        <f t="shared" si="18"/>
        <v>1115.2400000000002</v>
      </c>
      <c r="AB26" s="210">
        <f t="shared" si="18"/>
        <v>1115.2400000000002</v>
      </c>
      <c r="AC26" s="210">
        <f t="shared" si="18"/>
        <v>1115.2400000000002</v>
      </c>
      <c r="AD26" s="210">
        <f t="shared" si="18"/>
        <v>1141.3616666666669</v>
      </c>
      <c r="AE26" s="210">
        <f t="shared" si="18"/>
        <v>1193.6050000000002</v>
      </c>
      <c r="AF26" s="210">
        <f t="shared" si="18"/>
        <v>1245.8483333333336</v>
      </c>
      <c r="AG26" s="210">
        <f t="shared" si="18"/>
        <v>1298.0916666666669</v>
      </c>
      <c r="AH26" s="210">
        <f t="shared" si="18"/>
        <v>1350.3350000000003</v>
      </c>
      <c r="AI26" s="210">
        <f t="shared" si="18"/>
        <v>1402.5783333333336</v>
      </c>
      <c r="AJ26" s="210">
        <f t="shared" si="19"/>
        <v>1454.8216666666669</v>
      </c>
      <c r="AK26" s="210">
        <f t="shared" si="19"/>
        <v>1507.0650000000003</v>
      </c>
      <c r="AL26" s="210">
        <f t="shared" si="19"/>
        <v>1559.3083333333334</v>
      </c>
      <c r="AM26" s="210">
        <f t="shared" si="19"/>
        <v>1611.5516666666667</v>
      </c>
      <c r="AN26" s="210">
        <f t="shared" si="19"/>
        <v>1663.7950000000001</v>
      </c>
      <c r="AO26" s="210">
        <f t="shared" si="19"/>
        <v>1716.0383333333334</v>
      </c>
      <c r="AP26" s="210">
        <f t="shared" si="19"/>
        <v>1768.2816666666668</v>
      </c>
      <c r="AQ26" s="210">
        <f t="shared" si="19"/>
        <v>1820.5250000000001</v>
      </c>
      <c r="AR26" s="210">
        <f t="shared" si="19"/>
        <v>1872.7683333333334</v>
      </c>
      <c r="AS26" s="210">
        <f t="shared" si="19"/>
        <v>1925.0116666666668</v>
      </c>
      <c r="AT26" s="210">
        <f t="shared" si="20"/>
        <v>1977.2550000000001</v>
      </c>
      <c r="AU26" s="210">
        <f t="shared" si="20"/>
        <v>2029.4983333333334</v>
      </c>
      <c r="AV26" s="210">
        <f t="shared" si="20"/>
        <v>2081.7416666666668</v>
      </c>
      <c r="AW26" s="210">
        <f t="shared" si="20"/>
        <v>2133.9850000000001</v>
      </c>
      <c r="AX26" s="210">
        <f t="shared" si="20"/>
        <v>2186.2283333333335</v>
      </c>
      <c r="AY26" s="210">
        <f t="shared" si="20"/>
        <v>2238.4716666666668</v>
      </c>
      <c r="AZ26" s="210">
        <f t="shared" si="20"/>
        <v>2290.7150000000001</v>
      </c>
      <c r="BA26" s="210">
        <f t="shared" si="20"/>
        <v>2342.9583333333335</v>
      </c>
      <c r="BB26" s="210">
        <f t="shared" si="20"/>
        <v>2395.2016666666668</v>
      </c>
      <c r="BC26" s="210">
        <f t="shared" si="20"/>
        <v>2447.4450000000002</v>
      </c>
      <c r="BD26" s="210">
        <f t="shared" si="21"/>
        <v>2499.6883333333335</v>
      </c>
      <c r="BE26" s="210">
        <f t="shared" si="21"/>
        <v>2551.9316666666668</v>
      </c>
      <c r="BF26" s="210">
        <f t="shared" si="21"/>
        <v>2604.1750000000002</v>
      </c>
      <c r="BG26" s="210">
        <f t="shared" si="21"/>
        <v>2656.4183333333331</v>
      </c>
      <c r="BH26" s="210">
        <f t="shared" si="21"/>
        <v>2708.6616666666669</v>
      </c>
      <c r="BI26" s="210">
        <f t="shared" si="21"/>
        <v>2760.9050000000002</v>
      </c>
      <c r="BJ26" s="210">
        <f t="shared" si="21"/>
        <v>2813.1483333333335</v>
      </c>
      <c r="BK26" s="210">
        <f t="shared" si="21"/>
        <v>2865.3916666666664</v>
      </c>
      <c r="BL26" s="210">
        <f t="shared" si="21"/>
        <v>2917.6350000000002</v>
      </c>
      <c r="BM26" s="210">
        <f t="shared" si="21"/>
        <v>2969.8783333333336</v>
      </c>
      <c r="BN26" s="210">
        <f t="shared" si="22"/>
        <v>3066.3255813953488</v>
      </c>
      <c r="BO26" s="210">
        <f t="shared" si="22"/>
        <v>3206.9767441860467</v>
      </c>
      <c r="BP26" s="210">
        <f t="shared" si="22"/>
        <v>3347.6279069767443</v>
      </c>
      <c r="BQ26" s="210">
        <f t="shared" si="22"/>
        <v>3488.2790697674418</v>
      </c>
      <c r="BR26" s="210">
        <f t="shared" si="22"/>
        <v>3628.9302325581393</v>
      </c>
      <c r="BS26" s="210">
        <f t="shared" si="22"/>
        <v>3769.5813953488373</v>
      </c>
      <c r="BT26" s="210">
        <f t="shared" si="22"/>
        <v>3910.2325581395348</v>
      </c>
      <c r="BU26" s="210">
        <f t="shared" si="22"/>
        <v>4050.8837209302328</v>
      </c>
      <c r="BV26" s="210">
        <f t="shared" si="22"/>
        <v>4191.5348837209303</v>
      </c>
      <c r="BW26" s="210">
        <f t="shared" si="22"/>
        <v>4332.1860465116279</v>
      </c>
      <c r="BX26" s="210">
        <f t="shared" si="23"/>
        <v>4472.8372093023254</v>
      </c>
      <c r="BY26" s="210">
        <f t="shared" si="23"/>
        <v>4613.4883720930229</v>
      </c>
      <c r="BZ26" s="210">
        <f t="shared" si="23"/>
        <v>4754.1395348837214</v>
      </c>
      <c r="CA26" s="210">
        <f t="shared" si="23"/>
        <v>4894.7906976744189</v>
      </c>
      <c r="CB26" s="210">
        <f t="shared" si="23"/>
        <v>5035.4418604651164</v>
      </c>
      <c r="CC26" s="210">
        <f t="shared" si="23"/>
        <v>5176.0930232558139</v>
      </c>
      <c r="CD26" s="210">
        <f t="shared" si="23"/>
        <v>5316.7441860465115</v>
      </c>
      <c r="CE26" s="210">
        <f t="shared" si="23"/>
        <v>5457.3953488372099</v>
      </c>
      <c r="CF26" s="210">
        <f t="shared" si="23"/>
        <v>5598.0465116279065</v>
      </c>
      <c r="CG26" s="210">
        <f t="shared" si="23"/>
        <v>5738.6976744186049</v>
      </c>
      <c r="CH26" s="210">
        <f t="shared" si="24"/>
        <v>5879.3488372093025</v>
      </c>
      <c r="CI26" s="210">
        <f t="shared" si="24"/>
        <v>6020</v>
      </c>
      <c r="CJ26" s="210">
        <f t="shared" si="24"/>
        <v>6698.333333333333</v>
      </c>
      <c r="CK26" s="210">
        <f t="shared" si="24"/>
        <v>7376.6666666666661</v>
      </c>
      <c r="CL26" s="210">
        <f t="shared" si="24"/>
        <v>8055</v>
      </c>
      <c r="CM26" s="210">
        <f t="shared" si="24"/>
        <v>8733.3333333333321</v>
      </c>
      <c r="CN26" s="210">
        <f t="shared" si="24"/>
        <v>9411.6666666666661</v>
      </c>
      <c r="CO26" s="210">
        <f t="shared" si="24"/>
        <v>10090</v>
      </c>
      <c r="CP26" s="210">
        <f t="shared" si="24"/>
        <v>10768.333333333332</v>
      </c>
      <c r="CQ26" s="210">
        <f t="shared" si="24"/>
        <v>11446.666666666666</v>
      </c>
      <c r="CR26" s="210">
        <f t="shared" si="25"/>
        <v>12125</v>
      </c>
      <c r="CS26" s="210">
        <f t="shared" si="25"/>
        <v>12803.333333333332</v>
      </c>
      <c r="CT26" s="210">
        <f t="shared" si="25"/>
        <v>13481.666666666666</v>
      </c>
      <c r="CU26" s="210">
        <f t="shared" si="25"/>
        <v>14160</v>
      </c>
      <c r="CV26" s="210">
        <f t="shared" si="25"/>
        <v>14838.333333333332</v>
      </c>
      <c r="CW26" s="210">
        <f t="shared" si="25"/>
        <v>15516.666666666666</v>
      </c>
      <c r="CX26" s="210">
        <f t="shared" si="25"/>
        <v>15516.666666666666</v>
      </c>
      <c r="CY26" s="210">
        <f t="shared" si="25"/>
        <v>15516.666666666666</v>
      </c>
      <c r="CZ26" s="210">
        <f t="shared" si="25"/>
        <v>15516.666666666666</v>
      </c>
      <c r="DA26" s="210">
        <f t="shared" si="25"/>
        <v>15516.666666666666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178.23974005121067</v>
      </c>
      <c r="D27" s="203">
        <f>Income!D74</f>
        <v>401.34135855546003</v>
      </c>
      <c r="E27" s="203">
        <f>Income!E74</f>
        <v>1691.656770616976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2.4755519451557038</v>
      </c>
      <c r="AE27" s="210">
        <f t="shared" si="18"/>
        <v>7.4266558354671117</v>
      </c>
      <c r="AF27" s="210">
        <f t="shared" si="18"/>
        <v>12.377759725778519</v>
      </c>
      <c r="AG27" s="210">
        <f t="shared" si="18"/>
        <v>17.328863616089926</v>
      </c>
      <c r="AH27" s="210">
        <f t="shared" si="18"/>
        <v>22.279967506401334</v>
      </c>
      <c r="AI27" s="210">
        <f t="shared" si="18"/>
        <v>27.231071396712743</v>
      </c>
      <c r="AJ27" s="210">
        <f t="shared" si="19"/>
        <v>32.182175287024151</v>
      </c>
      <c r="AK27" s="210">
        <f t="shared" si="19"/>
        <v>37.133279177335552</v>
      </c>
      <c r="AL27" s="210">
        <f t="shared" si="19"/>
        <v>42.084383067646968</v>
      </c>
      <c r="AM27" s="210">
        <f t="shared" si="19"/>
        <v>47.035486957958369</v>
      </c>
      <c r="AN27" s="210">
        <f t="shared" si="19"/>
        <v>51.986590848269785</v>
      </c>
      <c r="AO27" s="210">
        <f t="shared" si="19"/>
        <v>56.937694738581186</v>
      </c>
      <c r="AP27" s="210">
        <f t="shared" si="19"/>
        <v>61.888798628892602</v>
      </c>
      <c r="AQ27" s="210">
        <f t="shared" si="19"/>
        <v>66.839902519204003</v>
      </c>
      <c r="AR27" s="210">
        <f t="shared" si="19"/>
        <v>71.791006409515418</v>
      </c>
      <c r="AS27" s="210">
        <f t="shared" si="19"/>
        <v>76.74211029982682</v>
      </c>
      <c r="AT27" s="210">
        <f t="shared" si="20"/>
        <v>81.693214190138235</v>
      </c>
      <c r="AU27" s="210">
        <f t="shared" si="20"/>
        <v>86.644318080449636</v>
      </c>
      <c r="AV27" s="210">
        <f t="shared" si="20"/>
        <v>91.595421970761038</v>
      </c>
      <c r="AW27" s="210">
        <f t="shared" si="20"/>
        <v>96.546525861072439</v>
      </c>
      <c r="AX27" s="210">
        <f t="shared" si="20"/>
        <v>101.49762975138385</v>
      </c>
      <c r="AY27" s="210">
        <f t="shared" si="20"/>
        <v>106.44873364169526</v>
      </c>
      <c r="AZ27" s="210">
        <f t="shared" si="20"/>
        <v>111.39983753200667</v>
      </c>
      <c r="BA27" s="210">
        <f t="shared" si="20"/>
        <v>116.35094142231807</v>
      </c>
      <c r="BB27" s="210">
        <f t="shared" si="20"/>
        <v>121.30204531262949</v>
      </c>
      <c r="BC27" s="210">
        <f t="shared" si="20"/>
        <v>126.2531492029409</v>
      </c>
      <c r="BD27" s="210">
        <f t="shared" si="21"/>
        <v>131.20425309325231</v>
      </c>
      <c r="BE27" s="210">
        <f t="shared" si="21"/>
        <v>136.15535698356371</v>
      </c>
      <c r="BF27" s="210">
        <f t="shared" si="21"/>
        <v>141.10646087387511</v>
      </c>
      <c r="BG27" s="210">
        <f t="shared" si="21"/>
        <v>146.05756476418654</v>
      </c>
      <c r="BH27" s="210">
        <f t="shared" si="21"/>
        <v>151.00866865449791</v>
      </c>
      <c r="BI27" s="210">
        <f t="shared" si="21"/>
        <v>155.95977254480934</v>
      </c>
      <c r="BJ27" s="210">
        <f t="shared" si="21"/>
        <v>160.91087643512074</v>
      </c>
      <c r="BK27" s="210">
        <f t="shared" si="21"/>
        <v>165.86198032543217</v>
      </c>
      <c r="BL27" s="210">
        <f t="shared" si="21"/>
        <v>170.81308421574354</v>
      </c>
      <c r="BM27" s="210">
        <f t="shared" si="21"/>
        <v>175.76418810605497</v>
      </c>
      <c r="BN27" s="210">
        <f t="shared" si="22"/>
        <v>183.42814978386764</v>
      </c>
      <c r="BO27" s="210">
        <f t="shared" si="22"/>
        <v>193.80496924918157</v>
      </c>
      <c r="BP27" s="210">
        <f t="shared" si="22"/>
        <v>204.1817887144955</v>
      </c>
      <c r="BQ27" s="210">
        <f t="shared" si="22"/>
        <v>214.5586081798094</v>
      </c>
      <c r="BR27" s="210">
        <f t="shared" si="22"/>
        <v>224.93542764512333</v>
      </c>
      <c r="BS27" s="210">
        <f t="shared" si="22"/>
        <v>235.31224711043726</v>
      </c>
      <c r="BT27" s="210">
        <f t="shared" si="22"/>
        <v>245.68906657575118</v>
      </c>
      <c r="BU27" s="210">
        <f t="shared" si="22"/>
        <v>256.06588604106508</v>
      </c>
      <c r="BV27" s="210">
        <f t="shared" si="22"/>
        <v>266.44270550637901</v>
      </c>
      <c r="BW27" s="210">
        <f t="shared" si="22"/>
        <v>276.81952497169294</v>
      </c>
      <c r="BX27" s="210">
        <f t="shared" si="23"/>
        <v>287.19634443700687</v>
      </c>
      <c r="BY27" s="210">
        <f t="shared" si="23"/>
        <v>297.5731639023208</v>
      </c>
      <c r="BZ27" s="210">
        <f t="shared" si="23"/>
        <v>307.94998336763467</v>
      </c>
      <c r="CA27" s="210">
        <f t="shared" si="23"/>
        <v>318.3268028329486</v>
      </c>
      <c r="CB27" s="210">
        <f t="shared" si="23"/>
        <v>328.70362229826253</v>
      </c>
      <c r="CC27" s="210">
        <f t="shared" si="23"/>
        <v>339.08044176357646</v>
      </c>
      <c r="CD27" s="210">
        <f t="shared" si="23"/>
        <v>349.45726122889039</v>
      </c>
      <c r="CE27" s="210">
        <f t="shared" si="23"/>
        <v>359.83408069420432</v>
      </c>
      <c r="CF27" s="210">
        <f t="shared" si="23"/>
        <v>370.21090015951825</v>
      </c>
      <c r="CG27" s="210">
        <f t="shared" si="23"/>
        <v>380.58771962483218</v>
      </c>
      <c r="CH27" s="210">
        <f t="shared" si="24"/>
        <v>390.9645390901461</v>
      </c>
      <c r="CI27" s="210">
        <f t="shared" si="24"/>
        <v>401.34135855546003</v>
      </c>
      <c r="CJ27" s="210">
        <f t="shared" si="24"/>
        <v>493.50674513128263</v>
      </c>
      <c r="CK27" s="210">
        <f t="shared" si="24"/>
        <v>585.67213170710511</v>
      </c>
      <c r="CL27" s="210">
        <f t="shared" si="24"/>
        <v>677.8375182829277</v>
      </c>
      <c r="CM27" s="210">
        <f t="shared" si="24"/>
        <v>770.0029048587503</v>
      </c>
      <c r="CN27" s="210">
        <f t="shared" si="24"/>
        <v>862.16829143457289</v>
      </c>
      <c r="CO27" s="210">
        <f t="shared" si="24"/>
        <v>954.33367801039537</v>
      </c>
      <c r="CP27" s="210">
        <f t="shared" si="24"/>
        <v>1046.4990645862181</v>
      </c>
      <c r="CQ27" s="210">
        <f t="shared" si="24"/>
        <v>1138.6644511620407</v>
      </c>
      <c r="CR27" s="210">
        <f t="shared" si="25"/>
        <v>1230.8298377378633</v>
      </c>
      <c r="CS27" s="210">
        <f t="shared" si="25"/>
        <v>1322.9952243136859</v>
      </c>
      <c r="CT27" s="210">
        <f t="shared" si="25"/>
        <v>1415.1606108895082</v>
      </c>
      <c r="CU27" s="210">
        <f t="shared" si="25"/>
        <v>1507.3259974653306</v>
      </c>
      <c r="CV27" s="210">
        <f t="shared" si="25"/>
        <v>1599.4913840411532</v>
      </c>
      <c r="CW27" s="210">
        <f t="shared" si="25"/>
        <v>1691.6567706169758</v>
      </c>
      <c r="CX27" s="210">
        <f t="shared" si="25"/>
        <v>1691.656770616976</v>
      </c>
      <c r="CY27" s="210">
        <f t="shared" si="25"/>
        <v>1691.656770616976</v>
      </c>
      <c r="CZ27" s="210">
        <f t="shared" si="25"/>
        <v>1691.656770616976</v>
      </c>
      <c r="DA27" s="210">
        <f t="shared" si="25"/>
        <v>1691.656770616976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2240</v>
      </c>
      <c r="D29" s="203">
        <f>Income!D76</f>
        <v>9856</v>
      </c>
      <c r="E29" s="203">
        <f>Income!E76</f>
        <v>32862.666666666664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31.111111111111111</v>
      </c>
      <c r="AE29" s="210">
        <f t="shared" si="18"/>
        <v>93.333333333333329</v>
      </c>
      <c r="AF29" s="210">
        <f t="shared" si="18"/>
        <v>155.55555555555554</v>
      </c>
      <c r="AG29" s="210">
        <f t="shared" si="18"/>
        <v>217.77777777777777</v>
      </c>
      <c r="AH29" s="210">
        <f t="shared" si="18"/>
        <v>280</v>
      </c>
      <c r="AI29" s="210">
        <f t="shared" si="18"/>
        <v>342.22222222222223</v>
      </c>
      <c r="AJ29" s="210">
        <f t="shared" si="19"/>
        <v>404.44444444444446</v>
      </c>
      <c r="AK29" s="210">
        <f t="shared" si="19"/>
        <v>466.66666666666669</v>
      </c>
      <c r="AL29" s="210">
        <f t="shared" si="19"/>
        <v>528.88888888888891</v>
      </c>
      <c r="AM29" s="210">
        <f t="shared" si="19"/>
        <v>591.11111111111109</v>
      </c>
      <c r="AN29" s="210">
        <f t="shared" si="19"/>
        <v>653.33333333333337</v>
      </c>
      <c r="AO29" s="210">
        <f t="shared" si="19"/>
        <v>715.55555555555554</v>
      </c>
      <c r="AP29" s="210">
        <f t="shared" si="19"/>
        <v>777.77777777777783</v>
      </c>
      <c r="AQ29" s="210">
        <f t="shared" si="19"/>
        <v>840</v>
      </c>
      <c r="AR29" s="210">
        <f t="shared" si="19"/>
        <v>902.22222222222217</v>
      </c>
      <c r="AS29" s="210">
        <f t="shared" si="19"/>
        <v>964.44444444444446</v>
      </c>
      <c r="AT29" s="210">
        <f t="shared" si="20"/>
        <v>1026.6666666666667</v>
      </c>
      <c r="AU29" s="210">
        <f t="shared" si="20"/>
        <v>1088.8888888888889</v>
      </c>
      <c r="AV29" s="210">
        <f t="shared" si="20"/>
        <v>1151.1111111111111</v>
      </c>
      <c r="AW29" s="210">
        <f t="shared" si="20"/>
        <v>1213.3333333333333</v>
      </c>
      <c r="AX29" s="210">
        <f t="shared" si="20"/>
        <v>1275.5555555555557</v>
      </c>
      <c r="AY29" s="210">
        <f t="shared" si="20"/>
        <v>1337.7777777777778</v>
      </c>
      <c r="AZ29" s="210">
        <f t="shared" si="20"/>
        <v>1400</v>
      </c>
      <c r="BA29" s="210">
        <f t="shared" si="20"/>
        <v>1462.2222222222222</v>
      </c>
      <c r="BB29" s="210">
        <f t="shared" si="20"/>
        <v>1524.4444444444443</v>
      </c>
      <c r="BC29" s="210">
        <f t="shared" si="20"/>
        <v>1586.6666666666667</v>
      </c>
      <c r="BD29" s="210">
        <f t="shared" si="21"/>
        <v>1648.8888888888889</v>
      </c>
      <c r="BE29" s="210">
        <f t="shared" si="21"/>
        <v>1711.1111111111111</v>
      </c>
      <c r="BF29" s="210">
        <f t="shared" si="21"/>
        <v>1773.3333333333333</v>
      </c>
      <c r="BG29" s="210">
        <f t="shared" si="21"/>
        <v>1835.5555555555557</v>
      </c>
      <c r="BH29" s="210">
        <f t="shared" si="21"/>
        <v>1897.7777777777778</v>
      </c>
      <c r="BI29" s="210">
        <f t="shared" si="21"/>
        <v>1960</v>
      </c>
      <c r="BJ29" s="210">
        <f t="shared" si="21"/>
        <v>2022.2222222222222</v>
      </c>
      <c r="BK29" s="210">
        <f t="shared" si="21"/>
        <v>2084.4444444444443</v>
      </c>
      <c r="BL29" s="210">
        <f t="shared" si="21"/>
        <v>2146.6666666666665</v>
      </c>
      <c r="BM29" s="210">
        <f t="shared" si="21"/>
        <v>2208.8888888888887</v>
      </c>
      <c r="BN29" s="210">
        <f t="shared" si="22"/>
        <v>2417.1162790697676</v>
      </c>
      <c r="BO29" s="210">
        <f t="shared" si="22"/>
        <v>2771.3488372093025</v>
      </c>
      <c r="BP29" s="210">
        <f t="shared" si="22"/>
        <v>3125.5813953488373</v>
      </c>
      <c r="BQ29" s="210">
        <f t="shared" si="22"/>
        <v>3479.8139534883721</v>
      </c>
      <c r="BR29" s="210">
        <f t="shared" si="22"/>
        <v>3834.046511627907</v>
      </c>
      <c r="BS29" s="210">
        <f t="shared" si="22"/>
        <v>4188.2790697674418</v>
      </c>
      <c r="BT29" s="210">
        <f t="shared" si="22"/>
        <v>4542.5116279069771</v>
      </c>
      <c r="BU29" s="210">
        <f t="shared" si="22"/>
        <v>4896.7441860465115</v>
      </c>
      <c r="BV29" s="210">
        <f t="shared" si="22"/>
        <v>5250.9767441860458</v>
      </c>
      <c r="BW29" s="210">
        <f t="shared" si="22"/>
        <v>5605.209302325582</v>
      </c>
      <c r="BX29" s="210">
        <f t="shared" si="23"/>
        <v>5959.4418604651164</v>
      </c>
      <c r="BY29" s="210">
        <f t="shared" si="23"/>
        <v>6313.6744186046508</v>
      </c>
      <c r="BZ29" s="210">
        <f t="shared" si="23"/>
        <v>6667.9069767441861</v>
      </c>
      <c r="CA29" s="210">
        <f t="shared" si="23"/>
        <v>7022.1395348837214</v>
      </c>
      <c r="CB29" s="210">
        <f t="shared" si="23"/>
        <v>7376.3720930232557</v>
      </c>
      <c r="CC29" s="210">
        <f t="shared" si="23"/>
        <v>7730.604651162791</v>
      </c>
      <c r="CD29" s="210">
        <f t="shared" si="23"/>
        <v>8084.8372093023254</v>
      </c>
      <c r="CE29" s="210">
        <f t="shared" si="23"/>
        <v>8439.0697674418607</v>
      </c>
      <c r="CF29" s="210">
        <f t="shared" si="23"/>
        <v>8793.3023255813951</v>
      </c>
      <c r="CG29" s="210">
        <f t="shared" si="23"/>
        <v>9147.5348837209312</v>
      </c>
      <c r="CH29" s="210">
        <f t="shared" si="24"/>
        <v>9501.7674418604656</v>
      </c>
      <c r="CI29" s="210">
        <f t="shared" si="24"/>
        <v>9856</v>
      </c>
      <c r="CJ29" s="210">
        <f t="shared" si="24"/>
        <v>11499.333333333334</v>
      </c>
      <c r="CK29" s="210">
        <f t="shared" si="24"/>
        <v>13142.666666666666</v>
      </c>
      <c r="CL29" s="210">
        <f t="shared" si="24"/>
        <v>14786</v>
      </c>
      <c r="CM29" s="210">
        <f t="shared" si="24"/>
        <v>16429.333333333332</v>
      </c>
      <c r="CN29" s="210">
        <f t="shared" si="24"/>
        <v>18072.666666666664</v>
      </c>
      <c r="CO29" s="210">
        <f t="shared" si="24"/>
        <v>19716</v>
      </c>
      <c r="CP29" s="210">
        <f t="shared" si="24"/>
        <v>21359.333333333332</v>
      </c>
      <c r="CQ29" s="210">
        <f t="shared" si="24"/>
        <v>23002.666666666664</v>
      </c>
      <c r="CR29" s="210">
        <f t="shared" si="25"/>
        <v>24646</v>
      </c>
      <c r="CS29" s="210">
        <f t="shared" si="25"/>
        <v>26289.333333333332</v>
      </c>
      <c r="CT29" s="210">
        <f t="shared" si="25"/>
        <v>27932.666666666664</v>
      </c>
      <c r="CU29" s="210">
        <f t="shared" si="25"/>
        <v>29576</v>
      </c>
      <c r="CV29" s="210">
        <f t="shared" si="25"/>
        <v>31219.333333333332</v>
      </c>
      <c r="CW29" s="210">
        <f t="shared" si="25"/>
        <v>32862.666666666664</v>
      </c>
      <c r="CX29" s="210">
        <f t="shared" si="25"/>
        <v>32862.666666666664</v>
      </c>
      <c r="CY29" s="210">
        <f t="shared" si="25"/>
        <v>32862.666666666664</v>
      </c>
      <c r="CZ29" s="210">
        <f t="shared" si="25"/>
        <v>32862.666666666664</v>
      </c>
      <c r="DA29" s="210">
        <f t="shared" si="25"/>
        <v>32862.666666666664</v>
      </c>
    </row>
    <row r="30" spans="1:105">
      <c r="A30" s="201" t="str">
        <f>Income!A77</f>
        <v>Wild foods consumed and sold</v>
      </c>
      <c r="B30" s="203">
        <f>Income!B77</f>
        <v>1390.2461967551797</v>
      </c>
      <c r="C30" s="203">
        <f>Income!C77</f>
        <v>2609.6000000000008</v>
      </c>
      <c r="D30" s="203">
        <f>Income!D77</f>
        <v>0</v>
      </c>
      <c r="E30" s="203">
        <f>Income!E77</f>
        <v>0</v>
      </c>
      <c r="F30" s="210">
        <f t="shared" si="16"/>
        <v>1390.2461967551797</v>
      </c>
      <c r="G30" s="210">
        <f t="shared" si="16"/>
        <v>1390.2461967551797</v>
      </c>
      <c r="H30" s="210">
        <f t="shared" si="16"/>
        <v>1390.2461967551797</v>
      </c>
      <c r="I30" s="210">
        <f t="shared" si="16"/>
        <v>1390.2461967551797</v>
      </c>
      <c r="J30" s="210">
        <f t="shared" si="16"/>
        <v>1390.2461967551797</v>
      </c>
      <c r="K30" s="210">
        <f t="shared" si="16"/>
        <v>1390.2461967551797</v>
      </c>
      <c r="L30" s="210">
        <f t="shared" si="16"/>
        <v>1390.2461967551797</v>
      </c>
      <c r="M30" s="210">
        <f t="shared" si="16"/>
        <v>1390.2461967551797</v>
      </c>
      <c r="N30" s="210">
        <f t="shared" si="16"/>
        <v>1390.2461967551797</v>
      </c>
      <c r="O30" s="210">
        <f t="shared" si="16"/>
        <v>1390.2461967551797</v>
      </c>
      <c r="P30" s="210">
        <f t="shared" si="17"/>
        <v>1390.2461967551797</v>
      </c>
      <c r="Q30" s="210">
        <f t="shared" si="17"/>
        <v>1390.2461967551797</v>
      </c>
      <c r="R30" s="210">
        <f t="shared" si="17"/>
        <v>1390.2461967551797</v>
      </c>
      <c r="S30" s="210">
        <f t="shared" si="17"/>
        <v>1390.2461967551797</v>
      </c>
      <c r="T30" s="210">
        <f t="shared" si="17"/>
        <v>1390.2461967551797</v>
      </c>
      <c r="U30" s="210">
        <f t="shared" si="17"/>
        <v>1390.2461967551797</v>
      </c>
      <c r="V30" s="210">
        <f t="shared" si="17"/>
        <v>1390.2461967551797</v>
      </c>
      <c r="W30" s="210">
        <f t="shared" si="17"/>
        <v>1390.2461967551797</v>
      </c>
      <c r="X30" s="210">
        <f t="shared" si="17"/>
        <v>1390.2461967551797</v>
      </c>
      <c r="Y30" s="210">
        <f t="shared" si="17"/>
        <v>1390.2461967551797</v>
      </c>
      <c r="Z30" s="210">
        <f t="shared" si="18"/>
        <v>1390.2461967551797</v>
      </c>
      <c r="AA30" s="210">
        <f t="shared" si="18"/>
        <v>1390.2461967551797</v>
      </c>
      <c r="AB30" s="210">
        <f t="shared" si="18"/>
        <v>1390.2461967551797</v>
      </c>
      <c r="AC30" s="210">
        <f t="shared" si="18"/>
        <v>1390.2461967551797</v>
      </c>
      <c r="AD30" s="210">
        <f t="shared" si="18"/>
        <v>1407.1816662446911</v>
      </c>
      <c r="AE30" s="210">
        <f t="shared" si="18"/>
        <v>1441.052605223714</v>
      </c>
      <c r="AF30" s="210">
        <f t="shared" si="18"/>
        <v>1474.9235442027366</v>
      </c>
      <c r="AG30" s="210">
        <f t="shared" si="18"/>
        <v>1508.7944831817595</v>
      </c>
      <c r="AH30" s="210">
        <f t="shared" si="18"/>
        <v>1542.6654221607823</v>
      </c>
      <c r="AI30" s="210">
        <f t="shared" si="18"/>
        <v>1576.5363611398052</v>
      </c>
      <c r="AJ30" s="210">
        <f t="shared" si="19"/>
        <v>1610.4073001188278</v>
      </c>
      <c r="AK30" s="210">
        <f t="shared" si="19"/>
        <v>1644.2782390978507</v>
      </c>
      <c r="AL30" s="210">
        <f t="shared" si="19"/>
        <v>1678.1491780768736</v>
      </c>
      <c r="AM30" s="210">
        <f t="shared" si="19"/>
        <v>1712.0201170558962</v>
      </c>
      <c r="AN30" s="210">
        <f t="shared" si="19"/>
        <v>1745.8910560349191</v>
      </c>
      <c r="AO30" s="210">
        <f t="shared" si="19"/>
        <v>1779.7619950139419</v>
      </c>
      <c r="AP30" s="210">
        <f t="shared" si="19"/>
        <v>1813.6329339929648</v>
      </c>
      <c r="AQ30" s="210">
        <f t="shared" si="19"/>
        <v>1847.5038729719877</v>
      </c>
      <c r="AR30" s="210">
        <f t="shared" si="19"/>
        <v>1881.3748119510103</v>
      </c>
      <c r="AS30" s="210">
        <f t="shared" si="19"/>
        <v>1915.2457509300332</v>
      </c>
      <c r="AT30" s="210">
        <f t="shared" si="20"/>
        <v>1949.116689909056</v>
      </c>
      <c r="AU30" s="210">
        <f t="shared" si="20"/>
        <v>1982.9876288880789</v>
      </c>
      <c r="AV30" s="210">
        <f t="shared" si="20"/>
        <v>2016.8585678671016</v>
      </c>
      <c r="AW30" s="210">
        <f t="shared" si="20"/>
        <v>2050.7295068461244</v>
      </c>
      <c r="AX30" s="210">
        <f t="shared" si="20"/>
        <v>2084.6004458251473</v>
      </c>
      <c r="AY30" s="210">
        <f t="shared" si="20"/>
        <v>2118.4713848041702</v>
      </c>
      <c r="AZ30" s="210">
        <f t="shared" si="20"/>
        <v>2152.342323783193</v>
      </c>
      <c r="BA30" s="210">
        <f t="shared" si="20"/>
        <v>2186.2132627622159</v>
      </c>
      <c r="BB30" s="210">
        <f t="shared" si="20"/>
        <v>2220.0842017412388</v>
      </c>
      <c r="BC30" s="210">
        <f t="shared" si="20"/>
        <v>2253.9551407202612</v>
      </c>
      <c r="BD30" s="210">
        <f t="shared" si="21"/>
        <v>2287.826079699284</v>
      </c>
      <c r="BE30" s="210">
        <f t="shared" si="21"/>
        <v>2321.6970186783069</v>
      </c>
      <c r="BF30" s="210">
        <f t="shared" si="21"/>
        <v>2355.5679576573298</v>
      </c>
      <c r="BG30" s="210">
        <f t="shared" si="21"/>
        <v>2389.4388966363526</v>
      </c>
      <c r="BH30" s="210">
        <f t="shared" si="21"/>
        <v>2423.3098356153751</v>
      </c>
      <c r="BI30" s="210">
        <f t="shared" si="21"/>
        <v>2457.1807745943979</v>
      </c>
      <c r="BJ30" s="210">
        <f t="shared" si="21"/>
        <v>2491.0517135734208</v>
      </c>
      <c r="BK30" s="210">
        <f t="shared" si="21"/>
        <v>2524.9226525524437</v>
      </c>
      <c r="BL30" s="210">
        <f t="shared" si="21"/>
        <v>2558.7935915314665</v>
      </c>
      <c r="BM30" s="210">
        <f t="shared" si="21"/>
        <v>2592.6645305104894</v>
      </c>
      <c r="BN30" s="210">
        <f t="shared" si="22"/>
        <v>2548.9116279069776</v>
      </c>
      <c r="BO30" s="210">
        <f t="shared" si="22"/>
        <v>2427.5348837209308</v>
      </c>
      <c r="BP30" s="210">
        <f t="shared" si="22"/>
        <v>2306.1581395348844</v>
      </c>
      <c r="BQ30" s="210">
        <f t="shared" si="22"/>
        <v>2184.781395348838</v>
      </c>
      <c r="BR30" s="210">
        <f t="shared" si="22"/>
        <v>2063.4046511627912</v>
      </c>
      <c r="BS30" s="210">
        <f t="shared" si="22"/>
        <v>1942.0279069767448</v>
      </c>
      <c r="BT30" s="210">
        <f t="shared" si="22"/>
        <v>1820.6511627906982</v>
      </c>
      <c r="BU30" s="210">
        <f t="shared" si="22"/>
        <v>1699.2744186046516</v>
      </c>
      <c r="BV30" s="210">
        <f t="shared" si="22"/>
        <v>1577.8976744186052</v>
      </c>
      <c r="BW30" s="210">
        <f t="shared" si="22"/>
        <v>1456.5209302325586</v>
      </c>
      <c r="BX30" s="210">
        <f t="shared" si="23"/>
        <v>1335.144186046512</v>
      </c>
      <c r="BY30" s="210">
        <f t="shared" si="23"/>
        <v>1213.7674418604656</v>
      </c>
      <c r="BZ30" s="210">
        <f t="shared" si="23"/>
        <v>1092.390697674419</v>
      </c>
      <c r="CA30" s="210">
        <f t="shared" si="23"/>
        <v>971.01395348837241</v>
      </c>
      <c r="CB30" s="210">
        <f t="shared" si="23"/>
        <v>849.6372093023258</v>
      </c>
      <c r="CC30" s="210">
        <f t="shared" si="23"/>
        <v>728.26046511627942</v>
      </c>
      <c r="CD30" s="210">
        <f t="shared" si="23"/>
        <v>606.88372093023258</v>
      </c>
      <c r="CE30" s="210">
        <f t="shared" si="23"/>
        <v>485.50697674418598</v>
      </c>
      <c r="CF30" s="210">
        <f t="shared" si="23"/>
        <v>364.1302325581396</v>
      </c>
      <c r="CG30" s="210">
        <f t="shared" si="23"/>
        <v>242.75348837209276</v>
      </c>
      <c r="CH30" s="210">
        <f t="shared" si="24"/>
        <v>121.37674418604638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8019.2154696132602</v>
      </c>
      <c r="C31" s="203">
        <f>Income!C78</f>
        <v>16381.670718232048</v>
      </c>
      <c r="D31" s="203">
        <f>Income!D78</f>
        <v>898.47513812154705</v>
      </c>
      <c r="E31" s="203">
        <f>Income!E78</f>
        <v>0</v>
      </c>
      <c r="F31" s="210">
        <f t="shared" si="16"/>
        <v>8019.2154696132602</v>
      </c>
      <c r="G31" s="210">
        <f t="shared" si="16"/>
        <v>8019.2154696132602</v>
      </c>
      <c r="H31" s="210">
        <f t="shared" si="16"/>
        <v>8019.2154696132602</v>
      </c>
      <c r="I31" s="210">
        <f t="shared" si="16"/>
        <v>8019.2154696132602</v>
      </c>
      <c r="J31" s="210">
        <f t="shared" si="16"/>
        <v>8019.2154696132602</v>
      </c>
      <c r="K31" s="210">
        <f t="shared" si="16"/>
        <v>8019.2154696132602</v>
      </c>
      <c r="L31" s="210">
        <f t="shared" si="16"/>
        <v>8019.2154696132602</v>
      </c>
      <c r="M31" s="210">
        <f t="shared" si="16"/>
        <v>8019.2154696132602</v>
      </c>
      <c r="N31" s="210">
        <f t="shared" si="16"/>
        <v>8019.2154696132602</v>
      </c>
      <c r="O31" s="210">
        <f t="shared" si="16"/>
        <v>8019.2154696132602</v>
      </c>
      <c r="P31" s="210">
        <f t="shared" si="17"/>
        <v>8019.2154696132602</v>
      </c>
      <c r="Q31" s="210">
        <f t="shared" si="17"/>
        <v>8019.2154696132602</v>
      </c>
      <c r="R31" s="210">
        <f t="shared" si="17"/>
        <v>8019.2154696132602</v>
      </c>
      <c r="S31" s="210">
        <f t="shared" si="17"/>
        <v>8019.2154696132602</v>
      </c>
      <c r="T31" s="210">
        <f t="shared" si="17"/>
        <v>8019.2154696132602</v>
      </c>
      <c r="U31" s="210">
        <f t="shared" si="17"/>
        <v>8019.2154696132602</v>
      </c>
      <c r="V31" s="210">
        <f t="shared" si="17"/>
        <v>8019.2154696132602</v>
      </c>
      <c r="W31" s="210">
        <f t="shared" si="17"/>
        <v>8019.2154696132602</v>
      </c>
      <c r="X31" s="210">
        <f t="shared" si="17"/>
        <v>8019.2154696132602</v>
      </c>
      <c r="Y31" s="210">
        <f t="shared" si="17"/>
        <v>8019.2154696132602</v>
      </c>
      <c r="Z31" s="210">
        <f t="shared" si="18"/>
        <v>8019.2154696132602</v>
      </c>
      <c r="AA31" s="210">
        <f t="shared" si="18"/>
        <v>8019.2154696132602</v>
      </c>
      <c r="AB31" s="210">
        <f t="shared" si="18"/>
        <v>8019.2154696132602</v>
      </c>
      <c r="AC31" s="210">
        <f t="shared" si="18"/>
        <v>8019.2154696132602</v>
      </c>
      <c r="AD31" s="210">
        <f t="shared" si="18"/>
        <v>8135.3606813996321</v>
      </c>
      <c r="AE31" s="210">
        <f t="shared" si="18"/>
        <v>8367.6511049723758</v>
      </c>
      <c r="AF31" s="210">
        <f t="shared" si="18"/>
        <v>8599.9415285451214</v>
      </c>
      <c r="AG31" s="210">
        <f t="shared" si="18"/>
        <v>8832.2319521178651</v>
      </c>
      <c r="AH31" s="210">
        <f t="shared" si="18"/>
        <v>9064.5223756906089</v>
      </c>
      <c r="AI31" s="210">
        <f t="shared" si="18"/>
        <v>9296.8127992633526</v>
      </c>
      <c r="AJ31" s="210">
        <f t="shared" si="19"/>
        <v>9529.1032228360964</v>
      </c>
      <c r="AK31" s="210">
        <f t="shared" si="19"/>
        <v>9761.3936464088401</v>
      </c>
      <c r="AL31" s="210">
        <f t="shared" si="19"/>
        <v>9993.6840699815857</v>
      </c>
      <c r="AM31" s="210">
        <f t="shared" si="19"/>
        <v>10225.974493554329</v>
      </c>
      <c r="AN31" s="210">
        <f t="shared" si="19"/>
        <v>10458.264917127073</v>
      </c>
      <c r="AO31" s="210">
        <f t="shared" si="19"/>
        <v>10690.555340699817</v>
      </c>
      <c r="AP31" s="210">
        <f t="shared" si="19"/>
        <v>10922.845764272561</v>
      </c>
      <c r="AQ31" s="210">
        <f t="shared" si="19"/>
        <v>11155.136187845306</v>
      </c>
      <c r="AR31" s="210">
        <f t="shared" si="19"/>
        <v>11387.42661141805</v>
      </c>
      <c r="AS31" s="210">
        <f t="shared" si="19"/>
        <v>11619.717034990794</v>
      </c>
      <c r="AT31" s="210">
        <f t="shared" si="20"/>
        <v>11852.007458563538</v>
      </c>
      <c r="AU31" s="210">
        <f t="shared" si="20"/>
        <v>12084.297882136281</v>
      </c>
      <c r="AV31" s="210">
        <f t="shared" si="20"/>
        <v>12316.588305709025</v>
      </c>
      <c r="AW31" s="210">
        <f t="shared" si="20"/>
        <v>12548.878729281771</v>
      </c>
      <c r="AX31" s="210">
        <f t="shared" si="20"/>
        <v>12781.169152854514</v>
      </c>
      <c r="AY31" s="210">
        <f t="shared" si="20"/>
        <v>13013.45957642726</v>
      </c>
      <c r="AZ31" s="210">
        <f t="shared" si="20"/>
        <v>13245.750000000004</v>
      </c>
      <c r="BA31" s="210">
        <f t="shared" si="20"/>
        <v>13478.040423572747</v>
      </c>
      <c r="BB31" s="210">
        <f t="shared" si="20"/>
        <v>13710.330847145491</v>
      </c>
      <c r="BC31" s="210">
        <f t="shared" si="20"/>
        <v>13942.621270718235</v>
      </c>
      <c r="BD31" s="210">
        <f t="shared" si="21"/>
        <v>14174.911694290979</v>
      </c>
      <c r="BE31" s="210">
        <f t="shared" si="21"/>
        <v>14407.202117863722</v>
      </c>
      <c r="BF31" s="210">
        <f t="shared" si="21"/>
        <v>14639.492541436466</v>
      </c>
      <c r="BG31" s="210">
        <f t="shared" si="21"/>
        <v>14871.78296500921</v>
      </c>
      <c r="BH31" s="210">
        <f t="shared" si="21"/>
        <v>15104.073388581955</v>
      </c>
      <c r="BI31" s="210">
        <f t="shared" si="21"/>
        <v>15336.363812154701</v>
      </c>
      <c r="BJ31" s="210">
        <f t="shared" si="21"/>
        <v>15568.654235727443</v>
      </c>
      <c r="BK31" s="210">
        <f t="shared" si="21"/>
        <v>15800.944659300187</v>
      </c>
      <c r="BL31" s="210">
        <f t="shared" si="21"/>
        <v>16033.235082872932</v>
      </c>
      <c r="BM31" s="210">
        <f t="shared" si="21"/>
        <v>16265.525506445676</v>
      </c>
      <c r="BN31" s="210">
        <f t="shared" si="22"/>
        <v>16021.596402415526</v>
      </c>
      <c r="BO31" s="210">
        <f t="shared" si="22"/>
        <v>15301.447770782477</v>
      </c>
      <c r="BP31" s="210">
        <f t="shared" si="22"/>
        <v>14581.299139149432</v>
      </c>
      <c r="BQ31" s="210">
        <f t="shared" si="22"/>
        <v>13861.150507516384</v>
      </c>
      <c r="BR31" s="210">
        <f t="shared" si="22"/>
        <v>13141.001875883339</v>
      </c>
      <c r="BS31" s="210">
        <f t="shared" si="22"/>
        <v>12420.853244250291</v>
      </c>
      <c r="BT31" s="210">
        <f t="shared" si="22"/>
        <v>11700.704612617244</v>
      </c>
      <c r="BU31" s="210">
        <f t="shared" si="22"/>
        <v>10980.555980984198</v>
      </c>
      <c r="BV31" s="210">
        <f t="shared" si="22"/>
        <v>10260.407349351151</v>
      </c>
      <c r="BW31" s="210">
        <f t="shared" si="22"/>
        <v>9540.2587177181049</v>
      </c>
      <c r="BX31" s="210">
        <f t="shared" si="23"/>
        <v>8820.1100860850584</v>
      </c>
      <c r="BY31" s="210">
        <f t="shared" si="23"/>
        <v>8099.9614544520118</v>
      </c>
      <c r="BZ31" s="210">
        <f t="shared" si="23"/>
        <v>7379.8128228189653</v>
      </c>
      <c r="CA31" s="210">
        <f t="shared" si="23"/>
        <v>6659.6641911859188</v>
      </c>
      <c r="CB31" s="210">
        <f t="shared" si="23"/>
        <v>5939.5155595528722</v>
      </c>
      <c r="CC31" s="210">
        <f t="shared" si="23"/>
        <v>5219.3669279198257</v>
      </c>
      <c r="CD31" s="210">
        <f t="shared" si="23"/>
        <v>4499.2182962867792</v>
      </c>
      <c r="CE31" s="210">
        <f t="shared" si="23"/>
        <v>3779.0696646537326</v>
      </c>
      <c r="CF31" s="210">
        <f t="shared" si="23"/>
        <v>3058.9210330206861</v>
      </c>
      <c r="CG31" s="210">
        <f t="shared" si="23"/>
        <v>2338.7724013876414</v>
      </c>
      <c r="CH31" s="210">
        <f t="shared" si="24"/>
        <v>1618.623769754593</v>
      </c>
      <c r="CI31" s="210">
        <f t="shared" si="24"/>
        <v>898.47513812154648</v>
      </c>
      <c r="CJ31" s="210">
        <f t="shared" si="24"/>
        <v>834.29834254143657</v>
      </c>
      <c r="CK31" s="210">
        <f t="shared" si="24"/>
        <v>770.12154696132598</v>
      </c>
      <c r="CL31" s="210">
        <f t="shared" si="24"/>
        <v>705.9447513812155</v>
      </c>
      <c r="CM31" s="210">
        <f t="shared" si="24"/>
        <v>641.76795580110502</v>
      </c>
      <c r="CN31" s="210">
        <f t="shared" si="24"/>
        <v>577.59116022099454</v>
      </c>
      <c r="CO31" s="210">
        <f t="shared" si="24"/>
        <v>513.41436464088406</v>
      </c>
      <c r="CP31" s="210">
        <f t="shared" si="24"/>
        <v>449.23756906077352</v>
      </c>
      <c r="CQ31" s="210">
        <f t="shared" si="24"/>
        <v>385.06077348066299</v>
      </c>
      <c r="CR31" s="210">
        <f t="shared" si="25"/>
        <v>320.88397790055251</v>
      </c>
      <c r="CS31" s="210">
        <f t="shared" si="25"/>
        <v>256.70718232044203</v>
      </c>
      <c r="CT31" s="210">
        <f t="shared" si="25"/>
        <v>192.53038674033155</v>
      </c>
      <c r="CU31" s="210">
        <f t="shared" si="25"/>
        <v>128.35359116022096</v>
      </c>
      <c r="CV31" s="210">
        <f t="shared" si="25"/>
        <v>64.176795580110479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16800</v>
      </c>
      <c r="D32" s="203">
        <f>Income!D79</f>
        <v>73920</v>
      </c>
      <c r="E32" s="203">
        <f>Income!E79</f>
        <v>188160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233.33333333333334</v>
      </c>
      <c r="AE32" s="210">
        <f t="shared" si="18"/>
        <v>700</v>
      </c>
      <c r="AF32" s="210">
        <f t="shared" si="18"/>
        <v>1166.6666666666667</v>
      </c>
      <c r="AG32" s="210">
        <f t="shared" si="18"/>
        <v>1633.3333333333333</v>
      </c>
      <c r="AH32" s="210">
        <f t="shared" si="18"/>
        <v>2100</v>
      </c>
      <c r="AI32" s="210">
        <f t="shared" si="18"/>
        <v>2566.6666666666665</v>
      </c>
      <c r="AJ32" s="210">
        <f t="shared" si="19"/>
        <v>3033.3333333333335</v>
      </c>
      <c r="AK32" s="210">
        <f t="shared" si="19"/>
        <v>3500</v>
      </c>
      <c r="AL32" s="210">
        <f t="shared" si="19"/>
        <v>3966.6666666666665</v>
      </c>
      <c r="AM32" s="210">
        <f t="shared" si="19"/>
        <v>4433.333333333333</v>
      </c>
      <c r="AN32" s="210">
        <f t="shared" si="19"/>
        <v>4900</v>
      </c>
      <c r="AO32" s="210">
        <f t="shared" si="19"/>
        <v>5366.666666666667</v>
      </c>
      <c r="AP32" s="210">
        <f t="shared" si="19"/>
        <v>5833.333333333333</v>
      </c>
      <c r="AQ32" s="210">
        <f t="shared" si="19"/>
        <v>6300</v>
      </c>
      <c r="AR32" s="210">
        <f t="shared" si="19"/>
        <v>6766.666666666667</v>
      </c>
      <c r="AS32" s="210">
        <f t="shared" si="19"/>
        <v>7233.333333333333</v>
      </c>
      <c r="AT32" s="210">
        <f t="shared" si="20"/>
        <v>7700</v>
      </c>
      <c r="AU32" s="210">
        <f t="shared" si="20"/>
        <v>8166.666666666667</v>
      </c>
      <c r="AV32" s="210">
        <f t="shared" si="20"/>
        <v>8633.3333333333339</v>
      </c>
      <c r="AW32" s="210">
        <f t="shared" si="20"/>
        <v>9100</v>
      </c>
      <c r="AX32" s="210">
        <f t="shared" si="20"/>
        <v>9566.6666666666661</v>
      </c>
      <c r="AY32" s="210">
        <f t="shared" si="20"/>
        <v>10033.333333333334</v>
      </c>
      <c r="AZ32" s="210">
        <f t="shared" si="20"/>
        <v>10500</v>
      </c>
      <c r="BA32" s="210">
        <f t="shared" si="20"/>
        <v>10966.666666666666</v>
      </c>
      <c r="BB32" s="210">
        <f t="shared" si="20"/>
        <v>11433.333333333334</v>
      </c>
      <c r="BC32" s="210">
        <f t="shared" si="20"/>
        <v>11900</v>
      </c>
      <c r="BD32" s="210">
        <f t="shared" si="21"/>
        <v>12366.666666666666</v>
      </c>
      <c r="BE32" s="210">
        <f t="shared" si="21"/>
        <v>12833.333333333334</v>
      </c>
      <c r="BF32" s="210">
        <f t="shared" si="21"/>
        <v>13300</v>
      </c>
      <c r="BG32" s="210">
        <f t="shared" si="21"/>
        <v>13766.666666666666</v>
      </c>
      <c r="BH32" s="210">
        <f t="shared" si="21"/>
        <v>14233.333333333334</v>
      </c>
      <c r="BI32" s="210">
        <f t="shared" si="21"/>
        <v>14700</v>
      </c>
      <c r="BJ32" s="210">
        <f t="shared" si="21"/>
        <v>15166.666666666666</v>
      </c>
      <c r="BK32" s="210">
        <f t="shared" si="21"/>
        <v>15633.333333333334</v>
      </c>
      <c r="BL32" s="210">
        <f t="shared" si="21"/>
        <v>16100</v>
      </c>
      <c r="BM32" s="210">
        <f t="shared" si="21"/>
        <v>16566.666666666668</v>
      </c>
      <c r="BN32" s="210">
        <f t="shared" si="22"/>
        <v>18128.372093023256</v>
      </c>
      <c r="BO32" s="210">
        <f t="shared" si="22"/>
        <v>20785.116279069767</v>
      </c>
      <c r="BP32" s="210">
        <f t="shared" si="22"/>
        <v>23441.860465116279</v>
      </c>
      <c r="BQ32" s="210">
        <f t="shared" si="22"/>
        <v>26098.60465116279</v>
      </c>
      <c r="BR32" s="210">
        <f t="shared" si="22"/>
        <v>28755.348837209302</v>
      </c>
      <c r="BS32" s="210">
        <f t="shared" si="22"/>
        <v>31412.093023255817</v>
      </c>
      <c r="BT32" s="210">
        <f t="shared" si="22"/>
        <v>34068.837209302321</v>
      </c>
      <c r="BU32" s="210">
        <f t="shared" si="22"/>
        <v>36725.58139534884</v>
      </c>
      <c r="BV32" s="210">
        <f t="shared" si="22"/>
        <v>39382.325581395344</v>
      </c>
      <c r="BW32" s="210">
        <f t="shared" si="22"/>
        <v>42039.069767441862</v>
      </c>
      <c r="BX32" s="210">
        <f t="shared" si="23"/>
        <v>44695.813953488367</v>
      </c>
      <c r="BY32" s="210">
        <f t="shared" si="23"/>
        <v>47352.558139534885</v>
      </c>
      <c r="BZ32" s="210">
        <f t="shared" si="23"/>
        <v>50009.302325581397</v>
      </c>
      <c r="CA32" s="210">
        <f t="shared" si="23"/>
        <v>52666.046511627908</v>
      </c>
      <c r="CB32" s="210">
        <f t="shared" si="23"/>
        <v>55322.79069767442</v>
      </c>
      <c r="CC32" s="210">
        <f t="shared" si="23"/>
        <v>57979.534883720931</v>
      </c>
      <c r="CD32" s="210">
        <f t="shared" si="23"/>
        <v>60636.279069767443</v>
      </c>
      <c r="CE32" s="210">
        <f t="shared" si="23"/>
        <v>63293.023255813954</v>
      </c>
      <c r="CF32" s="210">
        <f t="shared" si="23"/>
        <v>65949.767441860458</v>
      </c>
      <c r="CG32" s="210">
        <f t="shared" si="23"/>
        <v>68606.511627906977</v>
      </c>
      <c r="CH32" s="210">
        <f t="shared" si="24"/>
        <v>71263.255813953496</v>
      </c>
      <c r="CI32" s="210">
        <f t="shared" si="24"/>
        <v>73920</v>
      </c>
      <c r="CJ32" s="210">
        <f t="shared" si="24"/>
        <v>82080</v>
      </c>
      <c r="CK32" s="210">
        <f t="shared" si="24"/>
        <v>90240</v>
      </c>
      <c r="CL32" s="210">
        <f t="shared" si="24"/>
        <v>98400</v>
      </c>
      <c r="CM32" s="210">
        <f t="shared" si="24"/>
        <v>106560</v>
      </c>
      <c r="CN32" s="210">
        <f t="shared" si="24"/>
        <v>114720</v>
      </c>
      <c r="CO32" s="210">
        <f t="shared" si="24"/>
        <v>122880</v>
      </c>
      <c r="CP32" s="210">
        <f t="shared" si="24"/>
        <v>131040</v>
      </c>
      <c r="CQ32" s="210">
        <f t="shared" si="24"/>
        <v>139200</v>
      </c>
      <c r="CR32" s="210">
        <f t="shared" si="25"/>
        <v>147360</v>
      </c>
      <c r="CS32" s="210">
        <f t="shared" si="25"/>
        <v>155520</v>
      </c>
      <c r="CT32" s="210">
        <f t="shared" si="25"/>
        <v>163680</v>
      </c>
      <c r="CU32" s="210">
        <f t="shared" si="25"/>
        <v>171840</v>
      </c>
      <c r="CV32" s="210">
        <f t="shared" si="25"/>
        <v>180000</v>
      </c>
      <c r="CW32" s="210">
        <f t="shared" si="25"/>
        <v>188160</v>
      </c>
      <c r="CX32" s="210">
        <f t="shared" si="25"/>
        <v>188160</v>
      </c>
      <c r="CY32" s="210">
        <f t="shared" si="25"/>
        <v>188160</v>
      </c>
      <c r="CZ32" s="210">
        <f t="shared" si="25"/>
        <v>188160</v>
      </c>
      <c r="DA32" s="210">
        <f t="shared" si="25"/>
        <v>188160</v>
      </c>
    </row>
    <row r="33" spans="1:105">
      <c r="A33" s="201" t="str">
        <f>Income!A81</f>
        <v>Self - employment</v>
      </c>
      <c r="B33" s="203">
        <f>Income!B81</f>
        <v>5145.0000000000009</v>
      </c>
      <c r="C33" s="203">
        <f>Income!C81</f>
        <v>7190.4000000000015</v>
      </c>
      <c r="D33" s="203">
        <f>Income!D81</f>
        <v>7660.8000000000011</v>
      </c>
      <c r="E33" s="203">
        <f>Income!E81</f>
        <v>0</v>
      </c>
      <c r="F33" s="210">
        <f t="shared" si="16"/>
        <v>5145.0000000000009</v>
      </c>
      <c r="G33" s="210">
        <f t="shared" si="16"/>
        <v>5145.0000000000009</v>
      </c>
      <c r="H33" s="210">
        <f t="shared" si="16"/>
        <v>5145.0000000000009</v>
      </c>
      <c r="I33" s="210">
        <f t="shared" si="16"/>
        <v>5145.0000000000009</v>
      </c>
      <c r="J33" s="210">
        <f t="shared" si="16"/>
        <v>5145.0000000000009</v>
      </c>
      <c r="K33" s="210">
        <f t="shared" si="16"/>
        <v>5145.0000000000009</v>
      </c>
      <c r="L33" s="210">
        <f t="shared" si="16"/>
        <v>5145.0000000000009</v>
      </c>
      <c r="M33" s="210">
        <f t="shared" si="16"/>
        <v>5145.0000000000009</v>
      </c>
      <c r="N33" s="210">
        <f t="shared" si="16"/>
        <v>5145.0000000000009</v>
      </c>
      <c r="O33" s="210">
        <f t="shared" si="16"/>
        <v>5145.0000000000009</v>
      </c>
      <c r="P33" s="210">
        <f t="shared" si="17"/>
        <v>5145.0000000000009</v>
      </c>
      <c r="Q33" s="210">
        <f t="shared" si="17"/>
        <v>5145.0000000000009</v>
      </c>
      <c r="R33" s="210">
        <f t="shared" si="17"/>
        <v>5145.0000000000009</v>
      </c>
      <c r="S33" s="210">
        <f t="shared" si="17"/>
        <v>5145.0000000000009</v>
      </c>
      <c r="T33" s="210">
        <f t="shared" si="17"/>
        <v>5145.0000000000009</v>
      </c>
      <c r="U33" s="210">
        <f t="shared" si="17"/>
        <v>5145.0000000000009</v>
      </c>
      <c r="V33" s="210">
        <f t="shared" si="17"/>
        <v>5145.0000000000009</v>
      </c>
      <c r="W33" s="210">
        <f t="shared" si="17"/>
        <v>5145.0000000000009</v>
      </c>
      <c r="X33" s="210">
        <f t="shared" si="17"/>
        <v>5145.0000000000009</v>
      </c>
      <c r="Y33" s="210">
        <f t="shared" si="17"/>
        <v>5145.0000000000009</v>
      </c>
      <c r="Z33" s="210">
        <f t="shared" si="18"/>
        <v>5145.0000000000009</v>
      </c>
      <c r="AA33" s="210">
        <f t="shared" si="18"/>
        <v>5145.0000000000009</v>
      </c>
      <c r="AB33" s="210">
        <f t="shared" si="18"/>
        <v>5145.0000000000009</v>
      </c>
      <c r="AC33" s="210">
        <f t="shared" si="18"/>
        <v>5145.0000000000009</v>
      </c>
      <c r="AD33" s="210">
        <f t="shared" si="18"/>
        <v>5173.4083333333347</v>
      </c>
      <c r="AE33" s="210">
        <f t="shared" si="18"/>
        <v>5230.2250000000013</v>
      </c>
      <c r="AF33" s="210">
        <f t="shared" si="18"/>
        <v>5287.0416666666679</v>
      </c>
      <c r="AG33" s="210">
        <f t="shared" si="18"/>
        <v>5343.8583333333345</v>
      </c>
      <c r="AH33" s="210">
        <f t="shared" si="18"/>
        <v>5400.6750000000011</v>
      </c>
      <c r="AI33" s="210">
        <f t="shared" si="18"/>
        <v>5457.4916666666677</v>
      </c>
      <c r="AJ33" s="210">
        <f t="shared" si="19"/>
        <v>5514.3083333333343</v>
      </c>
      <c r="AK33" s="210">
        <f t="shared" si="19"/>
        <v>5571.1250000000009</v>
      </c>
      <c r="AL33" s="210">
        <f t="shared" si="19"/>
        <v>5627.9416666666675</v>
      </c>
      <c r="AM33" s="210">
        <f t="shared" si="19"/>
        <v>5684.7583333333341</v>
      </c>
      <c r="AN33" s="210">
        <f t="shared" si="19"/>
        <v>5741.5750000000007</v>
      </c>
      <c r="AO33" s="210">
        <f t="shared" si="19"/>
        <v>5798.3916666666682</v>
      </c>
      <c r="AP33" s="210">
        <f t="shared" si="19"/>
        <v>5855.2083333333339</v>
      </c>
      <c r="AQ33" s="210">
        <f t="shared" si="19"/>
        <v>5912.0250000000015</v>
      </c>
      <c r="AR33" s="210">
        <f t="shared" si="19"/>
        <v>5968.8416666666681</v>
      </c>
      <c r="AS33" s="210">
        <f t="shared" si="19"/>
        <v>6025.6583333333347</v>
      </c>
      <c r="AT33" s="210">
        <f t="shared" si="20"/>
        <v>6082.4750000000013</v>
      </c>
      <c r="AU33" s="210">
        <f t="shared" si="20"/>
        <v>6139.2916666666679</v>
      </c>
      <c r="AV33" s="210">
        <f t="shared" si="20"/>
        <v>6196.1083333333345</v>
      </c>
      <c r="AW33" s="210">
        <f t="shared" si="20"/>
        <v>6252.9250000000011</v>
      </c>
      <c r="AX33" s="210">
        <f t="shared" si="20"/>
        <v>6309.7416666666677</v>
      </c>
      <c r="AY33" s="210">
        <f t="shared" si="20"/>
        <v>6366.5583333333343</v>
      </c>
      <c r="AZ33" s="210">
        <f t="shared" si="20"/>
        <v>6423.3750000000018</v>
      </c>
      <c r="BA33" s="210">
        <f t="shared" si="20"/>
        <v>6480.1916666666675</v>
      </c>
      <c r="BB33" s="210">
        <f t="shared" si="20"/>
        <v>6537.008333333335</v>
      </c>
      <c r="BC33" s="210">
        <f t="shared" si="20"/>
        <v>6593.8250000000007</v>
      </c>
      <c r="BD33" s="210">
        <f t="shared" si="21"/>
        <v>6650.6416666666682</v>
      </c>
      <c r="BE33" s="210">
        <f t="shared" si="21"/>
        <v>6707.4583333333348</v>
      </c>
      <c r="BF33" s="210">
        <f t="shared" si="21"/>
        <v>6764.2750000000015</v>
      </c>
      <c r="BG33" s="210">
        <f t="shared" si="21"/>
        <v>6821.0916666666681</v>
      </c>
      <c r="BH33" s="210">
        <f t="shared" si="21"/>
        <v>6877.9083333333347</v>
      </c>
      <c r="BI33" s="210">
        <f t="shared" si="21"/>
        <v>6934.7250000000013</v>
      </c>
      <c r="BJ33" s="210">
        <f t="shared" si="21"/>
        <v>6991.5416666666679</v>
      </c>
      <c r="BK33" s="210">
        <f t="shared" si="21"/>
        <v>7048.3583333333354</v>
      </c>
      <c r="BL33" s="210">
        <f t="shared" si="21"/>
        <v>7105.1750000000011</v>
      </c>
      <c r="BM33" s="210">
        <f t="shared" si="21"/>
        <v>7161.9916666666686</v>
      </c>
      <c r="BN33" s="210">
        <f t="shared" si="22"/>
        <v>7201.3395348837221</v>
      </c>
      <c r="BO33" s="210">
        <f t="shared" si="22"/>
        <v>7223.2186046511642</v>
      </c>
      <c r="BP33" s="210">
        <f t="shared" si="22"/>
        <v>7245.0976744186064</v>
      </c>
      <c r="BQ33" s="210">
        <f t="shared" si="22"/>
        <v>7266.9767441860477</v>
      </c>
      <c r="BR33" s="210">
        <f t="shared" si="22"/>
        <v>7288.8558139534898</v>
      </c>
      <c r="BS33" s="210">
        <f t="shared" si="22"/>
        <v>7310.734883720932</v>
      </c>
      <c r="BT33" s="210">
        <f t="shared" si="22"/>
        <v>7332.6139534883732</v>
      </c>
      <c r="BU33" s="210">
        <f t="shared" si="22"/>
        <v>7354.4930232558154</v>
      </c>
      <c r="BV33" s="210">
        <f t="shared" si="22"/>
        <v>7376.3720930232575</v>
      </c>
      <c r="BW33" s="210">
        <f t="shared" si="22"/>
        <v>7398.2511627906988</v>
      </c>
      <c r="BX33" s="210">
        <f t="shared" si="23"/>
        <v>7420.130232558141</v>
      </c>
      <c r="BY33" s="210">
        <f t="shared" si="23"/>
        <v>7442.0093023255831</v>
      </c>
      <c r="BZ33" s="210">
        <f t="shared" si="23"/>
        <v>7463.8883720930244</v>
      </c>
      <c r="CA33" s="210">
        <f t="shared" si="23"/>
        <v>7485.7674418604665</v>
      </c>
      <c r="CB33" s="210">
        <f t="shared" si="23"/>
        <v>7507.6465116279078</v>
      </c>
      <c r="CC33" s="210">
        <f t="shared" si="23"/>
        <v>7529.5255813953499</v>
      </c>
      <c r="CD33" s="210">
        <f t="shared" si="23"/>
        <v>7551.4046511627921</v>
      </c>
      <c r="CE33" s="210">
        <f t="shared" si="23"/>
        <v>7573.2837209302334</v>
      </c>
      <c r="CF33" s="210">
        <f t="shared" si="23"/>
        <v>7595.1627906976755</v>
      </c>
      <c r="CG33" s="210">
        <f t="shared" si="23"/>
        <v>7617.0418604651177</v>
      </c>
      <c r="CH33" s="210">
        <f t="shared" si="24"/>
        <v>7638.9209302325589</v>
      </c>
      <c r="CI33" s="210">
        <f t="shared" si="24"/>
        <v>7660.8000000000011</v>
      </c>
      <c r="CJ33" s="210">
        <f t="shared" si="24"/>
        <v>7113.6000000000013</v>
      </c>
      <c r="CK33" s="210">
        <f t="shared" si="24"/>
        <v>6566.4000000000015</v>
      </c>
      <c r="CL33" s="210">
        <f t="shared" si="24"/>
        <v>6019.2000000000007</v>
      </c>
      <c r="CM33" s="210">
        <f t="shared" si="24"/>
        <v>5472.0000000000009</v>
      </c>
      <c r="CN33" s="210">
        <f t="shared" si="24"/>
        <v>4924.8000000000011</v>
      </c>
      <c r="CO33" s="210">
        <f t="shared" si="24"/>
        <v>4377.6000000000004</v>
      </c>
      <c r="CP33" s="210">
        <f t="shared" si="24"/>
        <v>3830.4000000000005</v>
      </c>
      <c r="CQ33" s="210">
        <f t="shared" si="24"/>
        <v>3283.2000000000007</v>
      </c>
      <c r="CR33" s="210">
        <f t="shared" si="25"/>
        <v>2736</v>
      </c>
      <c r="CS33" s="210">
        <f t="shared" si="25"/>
        <v>2188.8000000000002</v>
      </c>
      <c r="CT33" s="210">
        <f t="shared" si="25"/>
        <v>1641.5999999999995</v>
      </c>
      <c r="CU33" s="210">
        <f t="shared" si="25"/>
        <v>1094.4000000000005</v>
      </c>
      <c r="CV33" s="210">
        <f t="shared" si="25"/>
        <v>547.20000000000073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1075.2000000000003</v>
      </c>
      <c r="D34" s="203">
        <f>Income!D82</f>
        <v>0</v>
      </c>
      <c r="E34" s="203">
        <f>Income!E82</f>
        <v>188160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14.933333333333337</v>
      </c>
      <c r="AE34" s="210">
        <f t="shared" si="18"/>
        <v>44.800000000000011</v>
      </c>
      <c r="AF34" s="210">
        <f t="shared" si="18"/>
        <v>74.666666666666686</v>
      </c>
      <c r="AG34" s="210">
        <f t="shared" si="18"/>
        <v>104.53333333333336</v>
      </c>
      <c r="AH34" s="210">
        <f t="shared" si="18"/>
        <v>134.40000000000003</v>
      </c>
      <c r="AI34" s="210">
        <f t="shared" si="18"/>
        <v>164.26666666666671</v>
      </c>
      <c r="AJ34" s="210">
        <f t="shared" si="19"/>
        <v>194.13333333333338</v>
      </c>
      <c r="AK34" s="210">
        <f t="shared" si="19"/>
        <v>224.00000000000006</v>
      </c>
      <c r="AL34" s="210">
        <f t="shared" si="19"/>
        <v>253.86666666666673</v>
      </c>
      <c r="AM34" s="210">
        <f t="shared" si="19"/>
        <v>283.73333333333341</v>
      </c>
      <c r="AN34" s="210">
        <f t="shared" si="19"/>
        <v>313.60000000000008</v>
      </c>
      <c r="AO34" s="210">
        <f t="shared" si="19"/>
        <v>343.46666666666675</v>
      </c>
      <c r="AP34" s="210">
        <f t="shared" si="19"/>
        <v>373.33333333333343</v>
      </c>
      <c r="AQ34" s="210">
        <f t="shared" si="19"/>
        <v>403.2000000000001</v>
      </c>
      <c r="AR34" s="210">
        <f t="shared" si="19"/>
        <v>433.06666666666678</v>
      </c>
      <c r="AS34" s="210">
        <f t="shared" si="19"/>
        <v>462.93333333333351</v>
      </c>
      <c r="AT34" s="210">
        <f t="shared" si="20"/>
        <v>492.80000000000007</v>
      </c>
      <c r="AU34" s="210">
        <f t="shared" si="20"/>
        <v>522.66666666666674</v>
      </c>
      <c r="AV34" s="210">
        <f t="shared" si="20"/>
        <v>552.53333333333342</v>
      </c>
      <c r="AW34" s="210">
        <f t="shared" si="20"/>
        <v>582.40000000000009</v>
      </c>
      <c r="AX34" s="210">
        <f t="shared" si="20"/>
        <v>612.26666666666688</v>
      </c>
      <c r="AY34" s="210">
        <f t="shared" si="20"/>
        <v>642.13333333333355</v>
      </c>
      <c r="AZ34" s="210">
        <f t="shared" si="20"/>
        <v>672.00000000000023</v>
      </c>
      <c r="BA34" s="210">
        <f t="shared" si="20"/>
        <v>701.8666666666669</v>
      </c>
      <c r="BB34" s="210">
        <f t="shared" si="20"/>
        <v>731.73333333333346</v>
      </c>
      <c r="BC34" s="210">
        <f t="shared" si="20"/>
        <v>761.60000000000014</v>
      </c>
      <c r="BD34" s="210">
        <f t="shared" si="21"/>
        <v>791.46666666666681</v>
      </c>
      <c r="BE34" s="210">
        <f t="shared" si="21"/>
        <v>821.33333333333348</v>
      </c>
      <c r="BF34" s="210">
        <f t="shared" si="21"/>
        <v>851.20000000000027</v>
      </c>
      <c r="BG34" s="210">
        <f t="shared" si="21"/>
        <v>881.06666666666695</v>
      </c>
      <c r="BH34" s="210">
        <f t="shared" si="21"/>
        <v>910.93333333333351</v>
      </c>
      <c r="BI34" s="210">
        <f t="shared" si="21"/>
        <v>940.8000000000003</v>
      </c>
      <c r="BJ34" s="210">
        <f t="shared" si="21"/>
        <v>970.66666666666686</v>
      </c>
      <c r="BK34" s="210">
        <f t="shared" si="21"/>
        <v>1000.5333333333336</v>
      </c>
      <c r="BL34" s="210">
        <f t="shared" si="21"/>
        <v>1030.4000000000003</v>
      </c>
      <c r="BM34" s="210">
        <f t="shared" si="21"/>
        <v>1060.2666666666671</v>
      </c>
      <c r="BN34" s="210">
        <f t="shared" si="22"/>
        <v>1050.1953488372096</v>
      </c>
      <c r="BO34" s="210">
        <f t="shared" si="22"/>
        <v>1000.1860465116282</v>
      </c>
      <c r="BP34" s="210">
        <f t="shared" si="22"/>
        <v>950.17674418604679</v>
      </c>
      <c r="BQ34" s="210">
        <f t="shared" si="22"/>
        <v>900.16744186046537</v>
      </c>
      <c r="BR34" s="210">
        <f t="shared" si="22"/>
        <v>850.15813953488396</v>
      </c>
      <c r="BS34" s="210">
        <f t="shared" si="22"/>
        <v>800.14883720930254</v>
      </c>
      <c r="BT34" s="210">
        <f t="shared" si="22"/>
        <v>750.13953488372113</v>
      </c>
      <c r="BU34" s="210">
        <f t="shared" si="22"/>
        <v>700.13023255813971</v>
      </c>
      <c r="BV34" s="210">
        <f t="shared" si="22"/>
        <v>650.12093023255829</v>
      </c>
      <c r="BW34" s="210">
        <f t="shared" si="22"/>
        <v>600.11162790697688</v>
      </c>
      <c r="BX34" s="210">
        <f t="shared" si="23"/>
        <v>550.10232558139558</v>
      </c>
      <c r="BY34" s="210">
        <f t="shared" si="23"/>
        <v>500.09302325581405</v>
      </c>
      <c r="BZ34" s="210">
        <f t="shared" si="23"/>
        <v>450.08372093023263</v>
      </c>
      <c r="CA34" s="210">
        <f t="shared" si="23"/>
        <v>400.07441860465121</v>
      </c>
      <c r="CB34" s="210">
        <f t="shared" si="23"/>
        <v>350.06511627906991</v>
      </c>
      <c r="CC34" s="210">
        <f t="shared" si="23"/>
        <v>300.05581395348838</v>
      </c>
      <c r="CD34" s="210">
        <f t="shared" si="23"/>
        <v>250.04651162790708</v>
      </c>
      <c r="CE34" s="210">
        <f t="shared" si="23"/>
        <v>200.03720930232566</v>
      </c>
      <c r="CF34" s="210">
        <f t="shared" si="23"/>
        <v>150.02790697674425</v>
      </c>
      <c r="CG34" s="210">
        <f t="shared" si="23"/>
        <v>100.01860465116283</v>
      </c>
      <c r="CH34" s="210">
        <f t="shared" si="24"/>
        <v>50.009302325581302</v>
      </c>
      <c r="CI34" s="210">
        <f t="shared" si="24"/>
        <v>0</v>
      </c>
      <c r="CJ34" s="210">
        <f t="shared" si="24"/>
        <v>13440</v>
      </c>
      <c r="CK34" s="210">
        <f t="shared" si="24"/>
        <v>26880</v>
      </c>
      <c r="CL34" s="210">
        <f t="shared" si="24"/>
        <v>40320</v>
      </c>
      <c r="CM34" s="210">
        <f t="shared" si="24"/>
        <v>53760</v>
      </c>
      <c r="CN34" s="210">
        <f t="shared" si="24"/>
        <v>67200</v>
      </c>
      <c r="CO34" s="210">
        <f t="shared" si="24"/>
        <v>80640</v>
      </c>
      <c r="CP34" s="210">
        <f t="shared" si="24"/>
        <v>94080</v>
      </c>
      <c r="CQ34" s="210">
        <f t="shared" si="24"/>
        <v>107520</v>
      </c>
      <c r="CR34" s="210">
        <f t="shared" si="25"/>
        <v>120960</v>
      </c>
      <c r="CS34" s="210">
        <f t="shared" si="25"/>
        <v>134400</v>
      </c>
      <c r="CT34" s="210">
        <f t="shared" si="25"/>
        <v>147840</v>
      </c>
      <c r="CU34" s="210">
        <f t="shared" si="25"/>
        <v>161280</v>
      </c>
      <c r="CV34" s="210">
        <f t="shared" si="25"/>
        <v>174720</v>
      </c>
      <c r="CW34" s="210">
        <f t="shared" si="25"/>
        <v>188160</v>
      </c>
      <c r="CX34" s="210">
        <f t="shared" si="25"/>
        <v>188160</v>
      </c>
      <c r="CY34" s="210">
        <f t="shared" si="25"/>
        <v>188160</v>
      </c>
      <c r="CZ34" s="210">
        <f t="shared" si="25"/>
        <v>188160</v>
      </c>
      <c r="DA34" s="210">
        <f t="shared" si="25"/>
        <v>188160</v>
      </c>
    </row>
    <row r="35" spans="1:105">
      <c r="A35" s="201" t="str">
        <f>Income!A83</f>
        <v>Food transfer - official</v>
      </c>
      <c r="B35" s="203">
        <f>Income!B83</f>
        <v>85.763535911602219</v>
      </c>
      <c r="C35" s="203">
        <f>Income!C83</f>
        <v>565.1366629594969</v>
      </c>
      <c r="D35" s="203">
        <f>Income!D83</f>
        <v>0</v>
      </c>
      <c r="E35" s="203">
        <f>Income!E83</f>
        <v>0</v>
      </c>
      <c r="F35" s="210">
        <f t="shared" si="16"/>
        <v>85.763535911602219</v>
      </c>
      <c r="G35" s="210">
        <f t="shared" si="16"/>
        <v>85.763535911602219</v>
      </c>
      <c r="H35" s="210">
        <f t="shared" si="16"/>
        <v>85.763535911602219</v>
      </c>
      <c r="I35" s="210">
        <f t="shared" si="16"/>
        <v>85.763535911602219</v>
      </c>
      <c r="J35" s="210">
        <f t="shared" si="16"/>
        <v>85.763535911602219</v>
      </c>
      <c r="K35" s="210">
        <f t="shared" si="16"/>
        <v>85.763535911602219</v>
      </c>
      <c r="L35" s="210">
        <f t="shared" si="16"/>
        <v>85.763535911602219</v>
      </c>
      <c r="M35" s="210">
        <f t="shared" si="16"/>
        <v>85.763535911602219</v>
      </c>
      <c r="N35" s="210">
        <f t="shared" si="16"/>
        <v>85.763535911602219</v>
      </c>
      <c r="O35" s="210">
        <f t="shared" si="16"/>
        <v>85.763535911602219</v>
      </c>
      <c r="P35" s="210">
        <f t="shared" si="17"/>
        <v>85.763535911602219</v>
      </c>
      <c r="Q35" s="210">
        <f t="shared" si="17"/>
        <v>85.763535911602219</v>
      </c>
      <c r="R35" s="210">
        <f t="shared" si="17"/>
        <v>85.763535911602219</v>
      </c>
      <c r="S35" s="210">
        <f t="shared" si="17"/>
        <v>85.763535911602219</v>
      </c>
      <c r="T35" s="210">
        <f t="shared" si="17"/>
        <v>85.763535911602219</v>
      </c>
      <c r="U35" s="210">
        <f t="shared" si="17"/>
        <v>85.763535911602219</v>
      </c>
      <c r="V35" s="210">
        <f t="shared" si="17"/>
        <v>85.763535911602219</v>
      </c>
      <c r="W35" s="210">
        <f t="shared" si="17"/>
        <v>85.763535911602219</v>
      </c>
      <c r="X35" s="210">
        <f t="shared" si="17"/>
        <v>85.763535911602219</v>
      </c>
      <c r="Y35" s="210">
        <f t="shared" si="17"/>
        <v>85.763535911602219</v>
      </c>
      <c r="Z35" s="210">
        <f t="shared" si="18"/>
        <v>85.763535911602219</v>
      </c>
      <c r="AA35" s="210">
        <f t="shared" si="18"/>
        <v>85.763535911602219</v>
      </c>
      <c r="AB35" s="210">
        <f t="shared" si="18"/>
        <v>85.763535911602219</v>
      </c>
      <c r="AC35" s="210">
        <f t="shared" si="18"/>
        <v>85.763535911602219</v>
      </c>
      <c r="AD35" s="210">
        <f t="shared" si="18"/>
        <v>92.421496009489644</v>
      </c>
      <c r="AE35" s="210">
        <f t="shared" si="18"/>
        <v>105.73741620526449</v>
      </c>
      <c r="AF35" s="210">
        <f t="shared" si="18"/>
        <v>119.05333640103935</v>
      </c>
      <c r="AG35" s="210">
        <f t="shared" si="18"/>
        <v>132.36925659681421</v>
      </c>
      <c r="AH35" s="210">
        <f t="shared" si="18"/>
        <v>145.68517679258906</v>
      </c>
      <c r="AI35" s="210">
        <f t="shared" si="18"/>
        <v>159.00109698836388</v>
      </c>
      <c r="AJ35" s="210">
        <f t="shared" si="19"/>
        <v>172.31701718413876</v>
      </c>
      <c r="AK35" s="210">
        <f t="shared" si="19"/>
        <v>185.63293737991361</v>
      </c>
      <c r="AL35" s="210">
        <f t="shared" si="19"/>
        <v>198.94885757568846</v>
      </c>
      <c r="AM35" s="210">
        <f t="shared" si="19"/>
        <v>212.26477777146329</v>
      </c>
      <c r="AN35" s="210">
        <f t="shared" si="19"/>
        <v>225.58069796723817</v>
      </c>
      <c r="AO35" s="210">
        <f t="shared" si="19"/>
        <v>238.89661816301302</v>
      </c>
      <c r="AP35" s="210">
        <f t="shared" si="19"/>
        <v>252.21253835878787</v>
      </c>
      <c r="AQ35" s="210">
        <f t="shared" si="19"/>
        <v>265.52845855456269</v>
      </c>
      <c r="AR35" s="210">
        <f t="shared" si="19"/>
        <v>278.84437875033757</v>
      </c>
      <c r="AS35" s="210">
        <f t="shared" si="19"/>
        <v>292.16029894611245</v>
      </c>
      <c r="AT35" s="210">
        <f t="shared" si="20"/>
        <v>305.47621914188727</v>
      </c>
      <c r="AU35" s="210">
        <f t="shared" si="20"/>
        <v>318.79213933766215</v>
      </c>
      <c r="AV35" s="210">
        <f t="shared" si="20"/>
        <v>332.10805953343697</v>
      </c>
      <c r="AW35" s="210">
        <f t="shared" si="20"/>
        <v>345.42397972921185</v>
      </c>
      <c r="AX35" s="210">
        <f t="shared" si="20"/>
        <v>358.73989992498667</v>
      </c>
      <c r="AY35" s="210">
        <f t="shared" si="20"/>
        <v>372.05582012076155</v>
      </c>
      <c r="AZ35" s="210">
        <f t="shared" si="20"/>
        <v>385.37174031653643</v>
      </c>
      <c r="BA35" s="210">
        <f t="shared" si="20"/>
        <v>398.68766051231125</v>
      </c>
      <c r="BB35" s="210">
        <f t="shared" si="20"/>
        <v>412.00358070808613</v>
      </c>
      <c r="BC35" s="210">
        <f t="shared" si="20"/>
        <v>425.31950090386096</v>
      </c>
      <c r="BD35" s="210">
        <f t="shared" si="21"/>
        <v>438.63542109963583</v>
      </c>
      <c r="BE35" s="210">
        <f t="shared" si="21"/>
        <v>451.95134129541066</v>
      </c>
      <c r="BF35" s="210">
        <f t="shared" si="21"/>
        <v>465.26726149118554</v>
      </c>
      <c r="BG35" s="210">
        <f t="shared" si="21"/>
        <v>478.58318168696036</v>
      </c>
      <c r="BH35" s="210">
        <f t="shared" si="21"/>
        <v>491.89910188273524</v>
      </c>
      <c r="BI35" s="210">
        <f t="shared" si="21"/>
        <v>505.21502207851012</v>
      </c>
      <c r="BJ35" s="210">
        <f t="shared" si="21"/>
        <v>518.53094227428483</v>
      </c>
      <c r="BK35" s="210">
        <f t="shared" si="21"/>
        <v>531.8468624700597</v>
      </c>
      <c r="BL35" s="210">
        <f t="shared" si="21"/>
        <v>545.16278266583458</v>
      </c>
      <c r="BM35" s="210">
        <f t="shared" si="21"/>
        <v>558.47870286160946</v>
      </c>
      <c r="BN35" s="210">
        <f t="shared" si="22"/>
        <v>551.99394986741561</v>
      </c>
      <c r="BO35" s="210">
        <f t="shared" si="22"/>
        <v>525.70852368325291</v>
      </c>
      <c r="BP35" s="210">
        <f t="shared" si="22"/>
        <v>499.42309749909032</v>
      </c>
      <c r="BQ35" s="210">
        <f t="shared" si="22"/>
        <v>473.13767131492762</v>
      </c>
      <c r="BR35" s="210">
        <f t="shared" si="22"/>
        <v>446.85224513076503</v>
      </c>
      <c r="BS35" s="210">
        <f t="shared" si="22"/>
        <v>420.56681894660233</v>
      </c>
      <c r="BT35" s="210">
        <f t="shared" si="22"/>
        <v>394.28139276243968</v>
      </c>
      <c r="BU35" s="210">
        <f t="shared" si="22"/>
        <v>367.99596657827703</v>
      </c>
      <c r="BV35" s="210">
        <f t="shared" si="22"/>
        <v>341.71054039411439</v>
      </c>
      <c r="BW35" s="210">
        <f t="shared" si="22"/>
        <v>315.42511420995174</v>
      </c>
      <c r="BX35" s="210">
        <f t="shared" si="23"/>
        <v>289.1396880257891</v>
      </c>
      <c r="BY35" s="210">
        <f t="shared" si="23"/>
        <v>262.85426184162645</v>
      </c>
      <c r="BZ35" s="210">
        <f t="shared" si="23"/>
        <v>236.56883565746381</v>
      </c>
      <c r="CA35" s="210">
        <f t="shared" si="23"/>
        <v>210.28340947330116</v>
      </c>
      <c r="CB35" s="210">
        <f t="shared" si="23"/>
        <v>183.99798328913852</v>
      </c>
      <c r="CC35" s="210">
        <f t="shared" si="23"/>
        <v>157.71255710497587</v>
      </c>
      <c r="CD35" s="210">
        <f t="shared" si="23"/>
        <v>131.42713092081328</v>
      </c>
      <c r="CE35" s="210">
        <f t="shared" si="23"/>
        <v>105.14170473665058</v>
      </c>
      <c r="CF35" s="210">
        <f t="shared" si="23"/>
        <v>78.856278552487993</v>
      </c>
      <c r="CG35" s="210">
        <f t="shared" si="23"/>
        <v>52.570852368325291</v>
      </c>
      <c r="CH35" s="210">
        <f t="shared" si="24"/>
        <v>26.285426184162588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21051.290909090912</v>
      </c>
      <c r="C36" s="203">
        <f>Income!C85</f>
        <v>22327.709090909095</v>
      </c>
      <c r="D36" s="203">
        <f>Income!D85</f>
        <v>8867.345454545457</v>
      </c>
      <c r="E36" s="203">
        <f>Income!E85</f>
        <v>10345.236363636366</v>
      </c>
      <c r="F36" s="210">
        <f t="shared" si="16"/>
        <v>21051.290909090912</v>
      </c>
      <c r="G36" s="210">
        <f t="shared" si="16"/>
        <v>21051.290909090912</v>
      </c>
      <c r="H36" s="210">
        <f t="shared" si="16"/>
        <v>21051.290909090912</v>
      </c>
      <c r="I36" s="210">
        <f t="shared" si="16"/>
        <v>21051.290909090912</v>
      </c>
      <c r="J36" s="210">
        <f t="shared" si="16"/>
        <v>21051.290909090912</v>
      </c>
      <c r="K36" s="210">
        <f t="shared" si="16"/>
        <v>21051.290909090912</v>
      </c>
      <c r="L36" s="210">
        <f t="shared" si="16"/>
        <v>21051.290909090912</v>
      </c>
      <c r="M36" s="210">
        <f t="shared" si="16"/>
        <v>21051.290909090912</v>
      </c>
      <c r="N36" s="210">
        <f t="shared" si="16"/>
        <v>21051.290909090912</v>
      </c>
      <c r="O36" s="210">
        <f t="shared" si="16"/>
        <v>21051.290909090912</v>
      </c>
      <c r="P36" s="210">
        <f t="shared" si="16"/>
        <v>21051.290909090912</v>
      </c>
      <c r="Q36" s="210">
        <f t="shared" si="16"/>
        <v>21051.290909090912</v>
      </c>
      <c r="R36" s="210">
        <f t="shared" si="16"/>
        <v>21051.290909090912</v>
      </c>
      <c r="S36" s="210">
        <f t="shared" si="16"/>
        <v>21051.290909090912</v>
      </c>
      <c r="T36" s="210">
        <f t="shared" si="16"/>
        <v>21051.290909090912</v>
      </c>
      <c r="U36" s="210">
        <f t="shared" si="16"/>
        <v>21051.290909090912</v>
      </c>
      <c r="V36" s="210">
        <f t="shared" si="17"/>
        <v>21051.290909090912</v>
      </c>
      <c r="W36" s="210">
        <f t="shared" si="17"/>
        <v>21051.290909090912</v>
      </c>
      <c r="X36" s="210">
        <f t="shared" si="17"/>
        <v>21051.290909090912</v>
      </c>
      <c r="Y36" s="210">
        <f t="shared" si="17"/>
        <v>21051.290909090912</v>
      </c>
      <c r="Z36" s="210">
        <f t="shared" si="17"/>
        <v>21051.290909090912</v>
      </c>
      <c r="AA36" s="210">
        <f t="shared" si="17"/>
        <v>21051.290909090912</v>
      </c>
      <c r="AB36" s="210">
        <f t="shared" si="17"/>
        <v>21051.290909090912</v>
      </c>
      <c r="AC36" s="210">
        <f t="shared" si="17"/>
        <v>21051.290909090912</v>
      </c>
      <c r="AD36" s="210">
        <f t="shared" si="17"/>
        <v>21069.018939393944</v>
      </c>
      <c r="AE36" s="210">
        <f t="shared" si="17"/>
        <v>21104.475000000002</v>
      </c>
      <c r="AF36" s="210">
        <f t="shared" si="18"/>
        <v>21139.931060606064</v>
      </c>
      <c r="AG36" s="210">
        <f t="shared" si="18"/>
        <v>21175.387121212123</v>
      </c>
      <c r="AH36" s="210">
        <f t="shared" si="18"/>
        <v>21210.843181818185</v>
      </c>
      <c r="AI36" s="210">
        <f t="shared" si="18"/>
        <v>21246.299242424247</v>
      </c>
      <c r="AJ36" s="210">
        <f t="shared" si="18"/>
        <v>21281.755303030306</v>
      </c>
      <c r="AK36" s="210">
        <f t="shared" si="18"/>
        <v>21317.211363636368</v>
      </c>
      <c r="AL36" s="210">
        <f t="shared" si="18"/>
        <v>21352.667424242427</v>
      </c>
      <c r="AM36" s="210">
        <f t="shared" si="18"/>
        <v>21388.123484848489</v>
      </c>
      <c r="AN36" s="210">
        <f t="shared" si="18"/>
        <v>21423.579545454548</v>
      </c>
      <c r="AO36" s="210">
        <f t="shared" si="18"/>
        <v>21459.03560606061</v>
      </c>
      <c r="AP36" s="210">
        <f t="shared" si="19"/>
        <v>21494.491666666669</v>
      </c>
      <c r="AQ36" s="210">
        <f t="shared" si="19"/>
        <v>21529.947727272731</v>
      </c>
      <c r="AR36" s="210">
        <f t="shared" si="19"/>
        <v>21565.403787878793</v>
      </c>
      <c r="AS36" s="210">
        <f t="shared" si="19"/>
        <v>21600.859848484852</v>
      </c>
      <c r="AT36" s="210">
        <f t="shared" si="19"/>
        <v>21636.315909090914</v>
      </c>
      <c r="AU36" s="210">
        <f t="shared" si="19"/>
        <v>21671.771969696973</v>
      </c>
      <c r="AV36" s="210">
        <f t="shared" si="19"/>
        <v>21707.228030303035</v>
      </c>
      <c r="AW36" s="210">
        <f t="shared" si="19"/>
        <v>21742.684090909093</v>
      </c>
      <c r="AX36" s="210">
        <f t="shared" si="19"/>
        <v>21778.140151515156</v>
      </c>
      <c r="AY36" s="210">
        <f t="shared" si="19"/>
        <v>21813.596212121214</v>
      </c>
      <c r="AZ36" s="210">
        <f t="shared" si="20"/>
        <v>21849.052272727276</v>
      </c>
      <c r="BA36" s="210">
        <f t="shared" si="20"/>
        <v>21884.508333333339</v>
      </c>
      <c r="BB36" s="210">
        <f t="shared" si="20"/>
        <v>21919.964393939397</v>
      </c>
      <c r="BC36" s="210">
        <f t="shared" si="20"/>
        <v>21955.42045454546</v>
      </c>
      <c r="BD36" s="210">
        <f t="shared" si="20"/>
        <v>21990.876515151518</v>
      </c>
      <c r="BE36" s="210">
        <f t="shared" si="20"/>
        <v>22026.33257575758</v>
      </c>
      <c r="BF36" s="210">
        <f t="shared" si="20"/>
        <v>22061.788636363639</v>
      </c>
      <c r="BG36" s="210">
        <f t="shared" si="20"/>
        <v>22097.244696969701</v>
      </c>
      <c r="BH36" s="210">
        <f t="shared" si="20"/>
        <v>22132.70075757576</v>
      </c>
      <c r="BI36" s="210">
        <f t="shared" si="20"/>
        <v>22168.156818181822</v>
      </c>
      <c r="BJ36" s="210">
        <f t="shared" si="21"/>
        <v>22203.612878787884</v>
      </c>
      <c r="BK36" s="210">
        <f t="shared" si="21"/>
        <v>22239.068939393943</v>
      </c>
      <c r="BL36" s="210">
        <f t="shared" si="21"/>
        <v>22274.525000000005</v>
      </c>
      <c r="BM36" s="210">
        <f t="shared" si="21"/>
        <v>22309.981060606064</v>
      </c>
      <c r="BN36" s="210">
        <f t="shared" si="21"/>
        <v>22014.677378435521</v>
      </c>
      <c r="BO36" s="210">
        <f t="shared" si="21"/>
        <v>21388.613953488377</v>
      </c>
      <c r="BP36" s="210">
        <f t="shared" si="21"/>
        <v>20762.550528541229</v>
      </c>
      <c r="BQ36" s="210">
        <f t="shared" si="21"/>
        <v>20136.487103594085</v>
      </c>
      <c r="BR36" s="210">
        <f t="shared" si="21"/>
        <v>19510.423678646937</v>
      </c>
      <c r="BS36" s="210">
        <f t="shared" si="21"/>
        <v>18884.360253699793</v>
      </c>
      <c r="BT36" s="210">
        <f t="shared" si="22"/>
        <v>18258.296828752646</v>
      </c>
      <c r="BU36" s="210">
        <f t="shared" si="22"/>
        <v>17632.233403805501</v>
      </c>
      <c r="BV36" s="210">
        <f t="shared" si="22"/>
        <v>17006.169978858354</v>
      </c>
      <c r="BW36" s="210">
        <f t="shared" si="22"/>
        <v>16380.10655391121</v>
      </c>
      <c r="BX36" s="210">
        <f t="shared" si="22"/>
        <v>15754.043128964062</v>
      </c>
      <c r="BY36" s="210">
        <f t="shared" si="22"/>
        <v>15127.979704016918</v>
      </c>
      <c r="BZ36" s="210">
        <f t="shared" si="22"/>
        <v>14501.91627906977</v>
      </c>
      <c r="CA36" s="210">
        <f t="shared" si="22"/>
        <v>13875.852854122624</v>
      </c>
      <c r="CB36" s="210">
        <f t="shared" si="22"/>
        <v>13249.78942917548</v>
      </c>
      <c r="CC36" s="210">
        <f t="shared" si="22"/>
        <v>12623.726004228332</v>
      </c>
      <c r="CD36" s="210">
        <f t="shared" si="23"/>
        <v>11997.662579281186</v>
      </c>
      <c r="CE36" s="210">
        <f t="shared" si="23"/>
        <v>11371.599154334041</v>
      </c>
      <c r="CF36" s="210">
        <f t="shared" si="23"/>
        <v>10745.535729386895</v>
      </c>
      <c r="CG36" s="210">
        <f t="shared" si="23"/>
        <v>10119.472304439749</v>
      </c>
      <c r="CH36" s="210">
        <f t="shared" si="23"/>
        <v>9493.4088794926029</v>
      </c>
      <c r="CI36" s="210">
        <f t="shared" si="23"/>
        <v>8867.3454545454551</v>
      </c>
      <c r="CJ36" s="210">
        <f t="shared" si="23"/>
        <v>8972.9090909090937</v>
      </c>
      <c r="CK36" s="210">
        <f t="shared" si="23"/>
        <v>9078.4727272727305</v>
      </c>
      <c r="CL36" s="210">
        <f t="shared" si="23"/>
        <v>9184.0363636363654</v>
      </c>
      <c r="CM36" s="210">
        <f t="shared" si="23"/>
        <v>9289.6000000000022</v>
      </c>
      <c r="CN36" s="210">
        <f t="shared" si="24"/>
        <v>9395.1636363636389</v>
      </c>
      <c r="CO36" s="210">
        <f t="shared" si="24"/>
        <v>9500.7272727272757</v>
      </c>
      <c r="CP36" s="210">
        <f t="shared" si="24"/>
        <v>9606.2909090909125</v>
      </c>
      <c r="CQ36" s="210">
        <f t="shared" si="24"/>
        <v>9711.8545454545474</v>
      </c>
      <c r="CR36" s="210">
        <f t="shared" si="24"/>
        <v>9817.4181818181842</v>
      </c>
      <c r="CS36" s="210">
        <f t="shared" si="24"/>
        <v>9922.9818181818209</v>
      </c>
      <c r="CT36" s="210">
        <f t="shared" si="24"/>
        <v>10028.545454545458</v>
      </c>
      <c r="CU36" s="210">
        <f t="shared" si="24"/>
        <v>10134.109090909093</v>
      </c>
      <c r="CV36" s="210">
        <f t="shared" si="24"/>
        <v>10239.672727272729</v>
      </c>
      <c r="CW36" s="210">
        <f t="shared" si="24"/>
        <v>10345.236363636366</v>
      </c>
      <c r="CX36" s="210">
        <f t="shared" si="25"/>
        <v>10345.236363636366</v>
      </c>
      <c r="CY36" s="210">
        <f t="shared" si="25"/>
        <v>10345.236363636366</v>
      </c>
      <c r="CZ36" s="210">
        <f t="shared" si="25"/>
        <v>10345.236363636366</v>
      </c>
      <c r="DA36" s="210">
        <f t="shared" si="25"/>
        <v>10345.236363636366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5376</v>
      </c>
      <c r="D37" s="203">
        <f>Income!D86</f>
        <v>1344</v>
      </c>
      <c r="E37" s="203">
        <f>Income!E86</f>
        <v>18816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74.666666666666671</v>
      </c>
      <c r="AE37" s="210">
        <f t="shared" si="18"/>
        <v>224</v>
      </c>
      <c r="AF37" s="210">
        <f t="shared" si="18"/>
        <v>373.33333333333331</v>
      </c>
      <c r="AG37" s="210">
        <f t="shared" si="18"/>
        <v>522.66666666666663</v>
      </c>
      <c r="AH37" s="210">
        <f t="shared" si="18"/>
        <v>672</v>
      </c>
      <c r="AI37" s="210">
        <f t="shared" si="18"/>
        <v>821.33333333333337</v>
      </c>
      <c r="AJ37" s="210">
        <f t="shared" si="19"/>
        <v>970.66666666666663</v>
      </c>
      <c r="AK37" s="210">
        <f t="shared" si="19"/>
        <v>1120</v>
      </c>
      <c r="AL37" s="210">
        <f t="shared" si="19"/>
        <v>1269.3333333333333</v>
      </c>
      <c r="AM37" s="210">
        <f t="shared" si="19"/>
        <v>1418.6666666666667</v>
      </c>
      <c r="AN37" s="210">
        <f t="shared" si="19"/>
        <v>1568</v>
      </c>
      <c r="AO37" s="210">
        <f t="shared" si="19"/>
        <v>1717.3333333333333</v>
      </c>
      <c r="AP37" s="210">
        <f t="shared" si="19"/>
        <v>1866.6666666666667</v>
      </c>
      <c r="AQ37" s="210">
        <f t="shared" si="19"/>
        <v>2016</v>
      </c>
      <c r="AR37" s="210">
        <f t="shared" si="19"/>
        <v>2165.3333333333335</v>
      </c>
      <c r="AS37" s="210">
        <f t="shared" si="19"/>
        <v>2314.6666666666665</v>
      </c>
      <c r="AT37" s="210">
        <f t="shared" si="20"/>
        <v>2464</v>
      </c>
      <c r="AU37" s="210">
        <f t="shared" si="20"/>
        <v>2613.3333333333335</v>
      </c>
      <c r="AV37" s="210">
        <f t="shared" si="20"/>
        <v>2762.6666666666665</v>
      </c>
      <c r="AW37" s="210">
        <f t="shared" si="20"/>
        <v>2912</v>
      </c>
      <c r="AX37" s="210">
        <f t="shared" si="20"/>
        <v>3061.3333333333335</v>
      </c>
      <c r="AY37" s="210">
        <f t="shared" si="20"/>
        <v>3210.6666666666665</v>
      </c>
      <c r="AZ37" s="210">
        <f t="shared" si="20"/>
        <v>3360</v>
      </c>
      <c r="BA37" s="210">
        <f t="shared" si="20"/>
        <v>3509.3333333333335</v>
      </c>
      <c r="BB37" s="210">
        <f t="shared" si="20"/>
        <v>3658.6666666666665</v>
      </c>
      <c r="BC37" s="210">
        <f t="shared" si="20"/>
        <v>3808</v>
      </c>
      <c r="BD37" s="210">
        <f t="shared" si="21"/>
        <v>3957.3333333333335</v>
      </c>
      <c r="BE37" s="210">
        <f t="shared" si="21"/>
        <v>4106.666666666667</v>
      </c>
      <c r="BF37" s="210">
        <f t="shared" si="21"/>
        <v>4256</v>
      </c>
      <c r="BG37" s="210">
        <f t="shared" si="21"/>
        <v>4405.333333333333</v>
      </c>
      <c r="BH37" s="210">
        <f t="shared" si="21"/>
        <v>4554.666666666667</v>
      </c>
      <c r="BI37" s="210">
        <f t="shared" si="21"/>
        <v>4704</v>
      </c>
      <c r="BJ37" s="210">
        <f t="shared" si="21"/>
        <v>4853.333333333333</v>
      </c>
      <c r="BK37" s="210">
        <f t="shared" si="21"/>
        <v>5002.666666666667</v>
      </c>
      <c r="BL37" s="210">
        <f t="shared" si="21"/>
        <v>5152</v>
      </c>
      <c r="BM37" s="210">
        <f t="shared" si="21"/>
        <v>5301.333333333333</v>
      </c>
      <c r="BN37" s="210">
        <f t="shared" si="22"/>
        <v>5282.2325581395353</v>
      </c>
      <c r="BO37" s="210">
        <f t="shared" si="22"/>
        <v>5094.6976744186049</v>
      </c>
      <c r="BP37" s="210">
        <f t="shared" si="22"/>
        <v>4907.1627906976746</v>
      </c>
      <c r="BQ37" s="210">
        <f t="shared" si="22"/>
        <v>4719.6279069767443</v>
      </c>
      <c r="BR37" s="210">
        <f t="shared" si="22"/>
        <v>4532.0930232558139</v>
      </c>
      <c r="BS37" s="210">
        <f t="shared" si="22"/>
        <v>4344.5581395348836</v>
      </c>
      <c r="BT37" s="210">
        <f t="shared" si="22"/>
        <v>4157.0232558139533</v>
      </c>
      <c r="BU37" s="210">
        <f t="shared" si="22"/>
        <v>3969.4883720930229</v>
      </c>
      <c r="BV37" s="210">
        <f t="shared" si="22"/>
        <v>3781.953488372093</v>
      </c>
      <c r="BW37" s="210">
        <f t="shared" si="22"/>
        <v>3594.4186046511627</v>
      </c>
      <c r="BX37" s="210">
        <f t="shared" si="23"/>
        <v>3406.8837209302328</v>
      </c>
      <c r="BY37" s="210">
        <f t="shared" si="23"/>
        <v>3219.3488372093025</v>
      </c>
      <c r="BZ37" s="210">
        <f t="shared" si="23"/>
        <v>3031.8139534883721</v>
      </c>
      <c r="CA37" s="210">
        <f t="shared" si="23"/>
        <v>2844.2790697674418</v>
      </c>
      <c r="CB37" s="210">
        <f t="shared" si="23"/>
        <v>2656.7441860465115</v>
      </c>
      <c r="CC37" s="210">
        <f t="shared" si="23"/>
        <v>2469.2093023255816</v>
      </c>
      <c r="CD37" s="210">
        <f t="shared" si="23"/>
        <v>2281.6744186046512</v>
      </c>
      <c r="CE37" s="210">
        <f t="shared" si="23"/>
        <v>2094.1395348837209</v>
      </c>
      <c r="CF37" s="210">
        <f t="shared" si="23"/>
        <v>1906.6046511627906</v>
      </c>
      <c r="CG37" s="210">
        <f t="shared" si="23"/>
        <v>1719.0697674418607</v>
      </c>
      <c r="CH37" s="210">
        <f t="shared" si="24"/>
        <v>1531.5348837209303</v>
      </c>
      <c r="CI37" s="210">
        <f t="shared" si="24"/>
        <v>1344</v>
      </c>
      <c r="CJ37" s="210">
        <f t="shared" si="24"/>
        <v>2592</v>
      </c>
      <c r="CK37" s="210">
        <f t="shared" si="24"/>
        <v>3840</v>
      </c>
      <c r="CL37" s="210">
        <f t="shared" si="24"/>
        <v>5088</v>
      </c>
      <c r="CM37" s="210">
        <f t="shared" si="24"/>
        <v>6336</v>
      </c>
      <c r="CN37" s="210">
        <f t="shared" si="24"/>
        <v>7584</v>
      </c>
      <c r="CO37" s="210">
        <f t="shared" si="24"/>
        <v>8832</v>
      </c>
      <c r="CP37" s="210">
        <f t="shared" si="24"/>
        <v>10080</v>
      </c>
      <c r="CQ37" s="210">
        <f t="shared" si="24"/>
        <v>11328</v>
      </c>
      <c r="CR37" s="210">
        <f t="shared" si="25"/>
        <v>12576</v>
      </c>
      <c r="CS37" s="210">
        <f t="shared" si="25"/>
        <v>13824</v>
      </c>
      <c r="CT37" s="210">
        <f t="shared" si="25"/>
        <v>15072</v>
      </c>
      <c r="CU37" s="210">
        <f t="shared" si="25"/>
        <v>16320</v>
      </c>
      <c r="CV37" s="210">
        <f t="shared" si="25"/>
        <v>17568</v>
      </c>
      <c r="CW37" s="210">
        <f t="shared" si="25"/>
        <v>18816</v>
      </c>
      <c r="CX37" s="210">
        <f t="shared" si="25"/>
        <v>18816</v>
      </c>
      <c r="CY37" s="210">
        <f t="shared" si="25"/>
        <v>18816</v>
      </c>
      <c r="CZ37" s="210">
        <f t="shared" si="25"/>
        <v>18816</v>
      </c>
      <c r="DA37" s="210">
        <f t="shared" si="25"/>
        <v>18816</v>
      </c>
    </row>
    <row r="38" spans="1:105">
      <c r="A38" s="201" t="str">
        <f>Income!A88</f>
        <v>TOTAL</v>
      </c>
      <c r="B38" s="203">
        <f>Income!B88</f>
        <v>38183.500654221672</v>
      </c>
      <c r="C38" s="203">
        <f>Income!C88</f>
        <v>80911.777300807051</v>
      </c>
      <c r="D38" s="203">
        <f>Income!D88</f>
        <v>112734.24402669565</v>
      </c>
      <c r="E38" s="203">
        <f>Income!E88</f>
        <v>458015.76939349907</v>
      </c>
      <c r="F38" s="204">
        <f t="shared" ref="F38:AK38" si="26">SUM(F25:F37)</f>
        <v>38144.30121288354</v>
      </c>
      <c r="G38" s="204">
        <f t="shared" si="26"/>
        <v>38144.30121288354</v>
      </c>
      <c r="H38" s="204">
        <f t="shared" si="26"/>
        <v>38144.30121288354</v>
      </c>
      <c r="I38" s="204">
        <f t="shared" si="26"/>
        <v>38144.30121288354</v>
      </c>
      <c r="J38" s="204">
        <f t="shared" si="26"/>
        <v>38144.30121288354</v>
      </c>
      <c r="K38" s="204">
        <f t="shared" si="26"/>
        <v>38144.30121288354</v>
      </c>
      <c r="L38" s="204">
        <f t="shared" si="26"/>
        <v>38144.30121288354</v>
      </c>
      <c r="M38" s="204">
        <f t="shared" si="26"/>
        <v>38144.30121288354</v>
      </c>
      <c r="N38" s="204">
        <f t="shared" si="26"/>
        <v>38144.30121288354</v>
      </c>
      <c r="O38" s="204">
        <f t="shared" si="26"/>
        <v>38144.30121288354</v>
      </c>
      <c r="P38" s="204">
        <f t="shared" si="26"/>
        <v>38144.30121288354</v>
      </c>
      <c r="Q38" s="204">
        <f t="shared" si="26"/>
        <v>38144.30121288354</v>
      </c>
      <c r="R38" s="204">
        <f t="shared" si="26"/>
        <v>38144.30121288354</v>
      </c>
      <c r="S38" s="204">
        <f t="shared" si="26"/>
        <v>38144.30121288354</v>
      </c>
      <c r="T38" s="204">
        <f t="shared" si="26"/>
        <v>38144.30121288354</v>
      </c>
      <c r="U38" s="204">
        <f t="shared" si="26"/>
        <v>38144.30121288354</v>
      </c>
      <c r="V38" s="204">
        <f t="shared" si="26"/>
        <v>38144.30121288354</v>
      </c>
      <c r="W38" s="204">
        <f t="shared" si="26"/>
        <v>38144.30121288354</v>
      </c>
      <c r="X38" s="204">
        <f t="shared" si="26"/>
        <v>38144.30121288354</v>
      </c>
      <c r="Y38" s="204">
        <f t="shared" si="26"/>
        <v>38144.30121288354</v>
      </c>
      <c r="Z38" s="204">
        <f t="shared" si="26"/>
        <v>38144.30121288354</v>
      </c>
      <c r="AA38" s="204">
        <f t="shared" si="26"/>
        <v>38144.30121288354</v>
      </c>
      <c r="AB38" s="204">
        <f t="shared" si="26"/>
        <v>38144.30121288354</v>
      </c>
      <c r="AC38" s="204">
        <f t="shared" si="26"/>
        <v>38144.30121288354</v>
      </c>
      <c r="AD38" s="204">
        <f t="shared" si="26"/>
        <v>38737.547280301435</v>
      </c>
      <c r="AE38" s="204">
        <f t="shared" si="26"/>
        <v>39924.039415137224</v>
      </c>
      <c r="AF38" s="204">
        <f t="shared" si="26"/>
        <v>41110.531549973013</v>
      </c>
      <c r="AG38" s="204">
        <f t="shared" si="26"/>
        <v>42297.023684808802</v>
      </c>
      <c r="AH38" s="204">
        <f t="shared" si="26"/>
        <v>43483.515819644585</v>
      </c>
      <c r="AI38" s="204">
        <f t="shared" si="26"/>
        <v>44670.007954480381</v>
      </c>
      <c r="AJ38" s="204">
        <f t="shared" si="26"/>
        <v>45856.500089316156</v>
      </c>
      <c r="AK38" s="204">
        <f t="shared" si="26"/>
        <v>47042.992224151953</v>
      </c>
      <c r="AL38" s="204">
        <f t="shared" ref="AL38:BQ38" si="27">SUM(AL25:AL37)</f>
        <v>48229.484358987735</v>
      </c>
      <c r="AM38" s="204">
        <f t="shared" si="27"/>
        <v>49415.976493823524</v>
      </c>
      <c r="AN38" s="204">
        <f t="shared" si="27"/>
        <v>50602.468628659306</v>
      </c>
      <c r="AO38" s="204">
        <f t="shared" si="27"/>
        <v>51788.960763495103</v>
      </c>
      <c r="AP38" s="204">
        <f t="shared" si="27"/>
        <v>52975.452898330885</v>
      </c>
      <c r="AQ38" s="204">
        <f t="shared" si="27"/>
        <v>54161.945033166681</v>
      </c>
      <c r="AR38" s="204">
        <f t="shared" si="27"/>
        <v>55348.437168002471</v>
      </c>
      <c r="AS38" s="204">
        <f t="shared" si="27"/>
        <v>56534.929302838253</v>
      </c>
      <c r="AT38" s="204">
        <f t="shared" si="27"/>
        <v>57721.421437674042</v>
      </c>
      <c r="AU38" s="204">
        <f t="shared" si="27"/>
        <v>58907.913572509831</v>
      </c>
      <c r="AV38" s="204">
        <f t="shared" si="27"/>
        <v>60094.405707345613</v>
      </c>
      <c r="AW38" s="204">
        <f t="shared" si="27"/>
        <v>61280.89784218141</v>
      </c>
      <c r="AX38" s="204">
        <f t="shared" si="27"/>
        <v>62467.389977017192</v>
      </c>
      <c r="AY38" s="204">
        <f t="shared" si="27"/>
        <v>63653.882111852974</v>
      </c>
      <c r="AZ38" s="204">
        <f t="shared" si="27"/>
        <v>64840.374246688771</v>
      </c>
      <c r="BA38" s="204">
        <f t="shared" si="27"/>
        <v>66026.866381524553</v>
      </c>
      <c r="BB38" s="204">
        <f t="shared" si="27"/>
        <v>67213.358516360342</v>
      </c>
      <c r="BC38" s="204">
        <f t="shared" si="27"/>
        <v>68399.850651196131</v>
      </c>
      <c r="BD38" s="204">
        <f t="shared" si="27"/>
        <v>69586.342786031906</v>
      </c>
      <c r="BE38" s="204">
        <f t="shared" si="27"/>
        <v>70772.83492086771</v>
      </c>
      <c r="BF38" s="204">
        <f t="shared" si="27"/>
        <v>71959.327055703485</v>
      </c>
      <c r="BG38" s="204">
        <f t="shared" si="27"/>
        <v>73145.819190539274</v>
      </c>
      <c r="BH38" s="204">
        <f t="shared" si="27"/>
        <v>74332.311325375078</v>
      </c>
      <c r="BI38" s="204">
        <f t="shared" si="27"/>
        <v>75518.803460210853</v>
      </c>
      <c r="BJ38" s="204">
        <f t="shared" si="27"/>
        <v>76705.295595046642</v>
      </c>
      <c r="BK38" s="204">
        <f t="shared" si="27"/>
        <v>77891.787729882446</v>
      </c>
      <c r="BL38" s="204">
        <f t="shared" si="27"/>
        <v>79078.279864718221</v>
      </c>
      <c r="BM38" s="204">
        <f t="shared" si="27"/>
        <v>80264.771999554025</v>
      </c>
      <c r="BN38" s="204">
        <f t="shared" si="27"/>
        <v>81597.658694443468</v>
      </c>
      <c r="BO38" s="204">
        <f t="shared" si="27"/>
        <v>83076.939949386564</v>
      </c>
      <c r="BP38" s="204">
        <f t="shared" si="27"/>
        <v>84556.221204329689</v>
      </c>
      <c r="BQ38" s="204">
        <f t="shared" si="27"/>
        <v>86035.5024592728</v>
      </c>
      <c r="BR38" s="204">
        <f t="shared" ref="BR38:CW38" si="28">SUM(BR25:BR37)</f>
        <v>87514.783714215897</v>
      </c>
      <c r="BS38" s="204">
        <f t="shared" si="28"/>
        <v>88994.064969159022</v>
      </c>
      <c r="BT38" s="204">
        <f t="shared" si="28"/>
        <v>90473.346224102119</v>
      </c>
      <c r="BU38" s="204">
        <f t="shared" si="28"/>
        <v>91952.62747904523</v>
      </c>
      <c r="BV38" s="204">
        <f t="shared" si="28"/>
        <v>93431.908733988326</v>
      </c>
      <c r="BW38" s="204">
        <f t="shared" si="28"/>
        <v>94911.189988931452</v>
      </c>
      <c r="BX38" s="204">
        <f t="shared" si="28"/>
        <v>96390.471243874548</v>
      </c>
      <c r="BY38" s="204">
        <f t="shared" si="28"/>
        <v>97869.752498817688</v>
      </c>
      <c r="BZ38" s="204">
        <f t="shared" si="28"/>
        <v>99349.033753760799</v>
      </c>
      <c r="CA38" s="204">
        <f t="shared" si="28"/>
        <v>100828.3150087039</v>
      </c>
      <c r="CB38" s="204">
        <f t="shared" si="28"/>
        <v>102307.59626364702</v>
      </c>
      <c r="CC38" s="204">
        <f t="shared" si="28"/>
        <v>103786.87751859013</v>
      </c>
      <c r="CD38" s="204">
        <f t="shared" si="28"/>
        <v>105266.15877353324</v>
      </c>
      <c r="CE38" s="204">
        <f t="shared" si="28"/>
        <v>106745.44002847637</v>
      </c>
      <c r="CF38" s="204">
        <f t="shared" si="28"/>
        <v>108224.72128341945</v>
      </c>
      <c r="CG38" s="204">
        <f t="shared" si="28"/>
        <v>109704.00253836259</v>
      </c>
      <c r="CH38" s="204">
        <f t="shared" si="28"/>
        <v>111183.28379330569</v>
      </c>
      <c r="CI38" s="204">
        <f t="shared" si="28"/>
        <v>112662.5650482488</v>
      </c>
      <c r="CJ38" s="204">
        <f t="shared" si="28"/>
        <v>137330.65107290953</v>
      </c>
      <c r="CK38" s="204">
        <f t="shared" si="28"/>
        <v>161998.73709757024</v>
      </c>
      <c r="CL38" s="204">
        <f t="shared" si="28"/>
        <v>186666.823122231</v>
      </c>
      <c r="CM38" s="204">
        <f t="shared" si="28"/>
        <v>211334.90914689173</v>
      </c>
      <c r="CN38" s="204">
        <f t="shared" si="28"/>
        <v>236002.99517155244</v>
      </c>
      <c r="CO38" s="204">
        <f t="shared" si="28"/>
        <v>260671.0811962132</v>
      </c>
      <c r="CP38" s="204">
        <f t="shared" si="28"/>
        <v>285339.16722087387</v>
      </c>
      <c r="CQ38" s="204">
        <f t="shared" si="28"/>
        <v>310007.25324553467</v>
      </c>
      <c r="CR38" s="204">
        <f t="shared" si="28"/>
        <v>334675.3392701954</v>
      </c>
      <c r="CS38" s="204">
        <f t="shared" si="28"/>
        <v>359343.42529485608</v>
      </c>
      <c r="CT38" s="204">
        <f t="shared" si="28"/>
        <v>384011.51131951687</v>
      </c>
      <c r="CU38" s="204">
        <f t="shared" si="28"/>
        <v>408679.5973441776</v>
      </c>
      <c r="CV38" s="204">
        <f t="shared" si="28"/>
        <v>433347.68336883833</v>
      </c>
      <c r="CW38" s="204">
        <f t="shared" si="28"/>
        <v>458015.76939349907</v>
      </c>
      <c r="CX38" s="204">
        <f>SUM(CX25:CX37)</f>
        <v>458015.76939349907</v>
      </c>
      <c r="CY38" s="204">
        <f>SUM(CY25:CY37)</f>
        <v>458015.76939349907</v>
      </c>
      <c r="CZ38" s="204">
        <f>SUM(CZ25:CZ37)</f>
        <v>458015.76939349907</v>
      </c>
      <c r="DA38" s="204">
        <f>SUM(DA25:DA37)</f>
        <v>458015.76939349907</v>
      </c>
    </row>
    <row r="39" spans="1:105">
      <c r="A39" s="201" t="str">
        <f>Income!A89</f>
        <v>Food Poverty line</v>
      </c>
      <c r="B39" s="203">
        <f>Income!B89</f>
        <v>29946.919494373287</v>
      </c>
      <c r="C39" s="203">
        <f>Income!C89</f>
        <v>29946.919494373287</v>
      </c>
      <c r="D39" s="203">
        <f>Income!D89</f>
        <v>29946.919494373287</v>
      </c>
      <c r="E39" s="203">
        <f>Income!E89</f>
        <v>29946.919494373287</v>
      </c>
      <c r="F39" s="204">
        <f t="shared" ref="F39:U39" si="29">IF(F$2&lt;=($B$2+$C$2+$D$2),IF(F$2&lt;=($B$2+$C$2),IF(F$2&lt;=$B$2,$B39,$C39),$D39),$E39)</f>
        <v>29946.919494373287</v>
      </c>
      <c r="G39" s="204">
        <f t="shared" si="29"/>
        <v>29946.919494373287</v>
      </c>
      <c r="H39" s="204">
        <f t="shared" si="29"/>
        <v>29946.919494373287</v>
      </c>
      <c r="I39" s="204">
        <f t="shared" si="29"/>
        <v>29946.919494373287</v>
      </c>
      <c r="J39" s="204">
        <f t="shared" si="29"/>
        <v>29946.919494373287</v>
      </c>
      <c r="K39" s="204">
        <f t="shared" si="29"/>
        <v>29946.919494373287</v>
      </c>
      <c r="L39" s="204">
        <f t="shared" si="29"/>
        <v>29946.919494373287</v>
      </c>
      <c r="M39" s="204">
        <f t="shared" si="29"/>
        <v>29946.919494373287</v>
      </c>
      <c r="N39" s="204">
        <f t="shared" si="29"/>
        <v>29946.919494373287</v>
      </c>
      <c r="O39" s="204">
        <f t="shared" si="29"/>
        <v>29946.919494373287</v>
      </c>
      <c r="P39" s="204">
        <f t="shared" si="29"/>
        <v>29946.919494373287</v>
      </c>
      <c r="Q39" s="204">
        <f t="shared" si="29"/>
        <v>29946.919494373287</v>
      </c>
      <c r="R39" s="204">
        <f t="shared" si="29"/>
        <v>29946.919494373287</v>
      </c>
      <c r="S39" s="204">
        <f t="shared" si="29"/>
        <v>29946.919494373287</v>
      </c>
      <c r="T39" s="204">
        <f t="shared" si="29"/>
        <v>29946.919494373287</v>
      </c>
      <c r="U39" s="204">
        <f t="shared" si="29"/>
        <v>29946.919494373287</v>
      </c>
      <c r="V39" s="204">
        <f t="shared" ref="V39:AK40" si="30">IF(V$2&lt;=($B$2+$C$2+$D$2),IF(V$2&lt;=($B$2+$C$2),IF(V$2&lt;=$B$2,$B39,$C39),$D39),$E39)</f>
        <v>29946.919494373287</v>
      </c>
      <c r="W39" s="204">
        <f t="shared" si="30"/>
        <v>29946.919494373287</v>
      </c>
      <c r="X39" s="204">
        <f t="shared" si="30"/>
        <v>29946.919494373287</v>
      </c>
      <c r="Y39" s="204">
        <f t="shared" si="30"/>
        <v>29946.919494373287</v>
      </c>
      <c r="Z39" s="204">
        <f t="shared" si="30"/>
        <v>29946.919494373287</v>
      </c>
      <c r="AA39" s="204">
        <f t="shared" si="30"/>
        <v>29946.919494373287</v>
      </c>
      <c r="AB39" s="204">
        <f t="shared" si="30"/>
        <v>29946.919494373287</v>
      </c>
      <c r="AC39" s="204">
        <f t="shared" si="30"/>
        <v>29946.919494373287</v>
      </c>
      <c r="AD39" s="204">
        <f t="shared" si="30"/>
        <v>29946.919494373287</v>
      </c>
      <c r="AE39" s="204">
        <f t="shared" si="30"/>
        <v>29946.919494373287</v>
      </c>
      <c r="AF39" s="204">
        <f t="shared" si="30"/>
        <v>29946.919494373287</v>
      </c>
      <c r="AG39" s="204">
        <f t="shared" si="30"/>
        <v>29946.919494373287</v>
      </c>
      <c r="AH39" s="204">
        <f t="shared" si="30"/>
        <v>29946.919494373287</v>
      </c>
      <c r="AI39" s="204">
        <f t="shared" si="30"/>
        <v>29946.919494373287</v>
      </c>
      <c r="AJ39" s="204">
        <f t="shared" si="30"/>
        <v>29946.919494373287</v>
      </c>
      <c r="AK39" s="204">
        <f t="shared" si="30"/>
        <v>29946.919494373287</v>
      </c>
      <c r="AL39" s="204">
        <f t="shared" ref="AL39:BA40" si="31">IF(AL$2&lt;=($B$2+$C$2+$D$2),IF(AL$2&lt;=($B$2+$C$2),IF(AL$2&lt;=$B$2,$B39,$C39),$D39),$E39)</f>
        <v>29946.919494373287</v>
      </c>
      <c r="AM39" s="204">
        <f t="shared" si="31"/>
        <v>29946.919494373287</v>
      </c>
      <c r="AN39" s="204">
        <f t="shared" si="31"/>
        <v>29946.919494373287</v>
      </c>
      <c r="AO39" s="204">
        <f t="shared" si="31"/>
        <v>29946.919494373287</v>
      </c>
      <c r="AP39" s="204">
        <f t="shared" si="31"/>
        <v>29946.919494373287</v>
      </c>
      <c r="AQ39" s="204">
        <f t="shared" si="31"/>
        <v>29946.919494373287</v>
      </c>
      <c r="AR39" s="204">
        <f t="shared" si="31"/>
        <v>29946.919494373287</v>
      </c>
      <c r="AS39" s="204">
        <f t="shared" si="31"/>
        <v>29946.919494373287</v>
      </c>
      <c r="AT39" s="204">
        <f t="shared" si="31"/>
        <v>29946.919494373287</v>
      </c>
      <c r="AU39" s="204">
        <f t="shared" si="31"/>
        <v>29946.919494373287</v>
      </c>
      <c r="AV39" s="204">
        <f t="shared" si="31"/>
        <v>29946.919494373287</v>
      </c>
      <c r="AW39" s="204">
        <f t="shared" si="31"/>
        <v>29946.919494373287</v>
      </c>
      <c r="AX39" s="204">
        <f t="shared" si="31"/>
        <v>29946.919494373287</v>
      </c>
      <c r="AY39" s="204">
        <f t="shared" si="31"/>
        <v>29946.919494373287</v>
      </c>
      <c r="AZ39" s="204">
        <f t="shared" si="31"/>
        <v>29946.919494373287</v>
      </c>
      <c r="BA39" s="204">
        <f t="shared" si="31"/>
        <v>29946.919494373287</v>
      </c>
      <c r="BB39" s="204">
        <f t="shared" ref="BB39:CD40" si="32">IF(BB$2&lt;=($B$2+$C$2+$D$2),IF(BB$2&lt;=($B$2+$C$2),IF(BB$2&lt;=$B$2,$B39,$C39),$D39),$E39)</f>
        <v>29946.919494373287</v>
      </c>
      <c r="BC39" s="204">
        <f t="shared" si="32"/>
        <v>29946.919494373287</v>
      </c>
      <c r="BD39" s="204">
        <f t="shared" si="32"/>
        <v>29946.919494373287</v>
      </c>
      <c r="BE39" s="204">
        <f t="shared" si="32"/>
        <v>29946.919494373287</v>
      </c>
      <c r="BF39" s="204">
        <f t="shared" si="32"/>
        <v>29946.919494373287</v>
      </c>
      <c r="BG39" s="204">
        <f t="shared" si="32"/>
        <v>29946.919494373287</v>
      </c>
      <c r="BH39" s="204">
        <f t="shared" si="32"/>
        <v>29946.919494373287</v>
      </c>
      <c r="BI39" s="204">
        <f t="shared" si="32"/>
        <v>29946.919494373287</v>
      </c>
      <c r="BJ39" s="204">
        <f t="shared" si="32"/>
        <v>29946.919494373287</v>
      </c>
      <c r="BK39" s="204">
        <f t="shared" si="32"/>
        <v>29946.919494373287</v>
      </c>
      <c r="BL39" s="204">
        <f t="shared" si="32"/>
        <v>29946.919494373287</v>
      </c>
      <c r="BM39" s="204">
        <f t="shared" si="32"/>
        <v>29946.919494373287</v>
      </c>
      <c r="BN39" s="204">
        <f t="shared" si="32"/>
        <v>29946.919494373287</v>
      </c>
      <c r="BO39" s="204">
        <f t="shared" si="32"/>
        <v>29946.919494373287</v>
      </c>
      <c r="BP39" s="204">
        <f t="shared" si="32"/>
        <v>29946.919494373287</v>
      </c>
      <c r="BQ39" s="204">
        <f t="shared" si="32"/>
        <v>29946.919494373287</v>
      </c>
      <c r="BR39" s="204">
        <f t="shared" si="32"/>
        <v>29946.919494373287</v>
      </c>
      <c r="BS39" s="204">
        <f t="shared" si="32"/>
        <v>29946.919494373287</v>
      </c>
      <c r="BT39" s="204">
        <f t="shared" si="32"/>
        <v>29946.919494373287</v>
      </c>
      <c r="BU39" s="204">
        <f t="shared" si="32"/>
        <v>29946.919494373287</v>
      </c>
      <c r="BV39" s="204">
        <f t="shared" si="32"/>
        <v>29946.919494373287</v>
      </c>
      <c r="BW39" s="204">
        <f t="shared" si="32"/>
        <v>29946.919494373287</v>
      </c>
      <c r="BX39" s="204">
        <f t="shared" si="32"/>
        <v>29946.919494373287</v>
      </c>
      <c r="BY39" s="204">
        <f t="shared" si="32"/>
        <v>29946.919494373287</v>
      </c>
      <c r="BZ39" s="204">
        <f t="shared" si="32"/>
        <v>29946.919494373287</v>
      </c>
      <c r="CA39" s="204">
        <f t="shared" si="32"/>
        <v>29946.919494373287</v>
      </c>
      <c r="CB39" s="204">
        <f t="shared" si="32"/>
        <v>29946.919494373287</v>
      </c>
      <c r="CC39" s="204">
        <f t="shared" si="32"/>
        <v>29946.919494373287</v>
      </c>
      <c r="CD39" s="204">
        <f t="shared" si="32"/>
        <v>29946.919494373287</v>
      </c>
      <c r="CE39" s="204">
        <f t="shared" ref="CE39:CR40" si="33">IF(CE$2&lt;=($B$2+$C$2+$D$2),IF(CE$2&lt;=($B$2+$C$2),IF(CE$2&lt;=$B$2,$B39,$C39),$D39),$E39)</f>
        <v>29946.919494373287</v>
      </c>
      <c r="CF39" s="204">
        <f t="shared" si="33"/>
        <v>29946.919494373287</v>
      </c>
      <c r="CG39" s="204">
        <f t="shared" si="33"/>
        <v>29946.919494373287</v>
      </c>
      <c r="CH39" s="204">
        <f t="shared" si="33"/>
        <v>29946.919494373287</v>
      </c>
      <c r="CI39" s="204">
        <f t="shared" si="33"/>
        <v>29946.919494373287</v>
      </c>
      <c r="CJ39" s="204">
        <f t="shared" si="33"/>
        <v>29946.919494373287</v>
      </c>
      <c r="CK39" s="204">
        <f t="shared" si="33"/>
        <v>29946.919494373287</v>
      </c>
      <c r="CL39" s="204">
        <f t="shared" si="33"/>
        <v>29946.919494373287</v>
      </c>
      <c r="CM39" s="204">
        <f t="shared" si="33"/>
        <v>29946.919494373287</v>
      </c>
      <c r="CN39" s="204">
        <f t="shared" si="33"/>
        <v>29946.919494373287</v>
      </c>
      <c r="CO39" s="204">
        <f t="shared" si="33"/>
        <v>29946.919494373287</v>
      </c>
      <c r="CP39" s="204">
        <f t="shared" si="33"/>
        <v>29946.919494373287</v>
      </c>
      <c r="CQ39" s="204">
        <f t="shared" si="33"/>
        <v>29946.919494373287</v>
      </c>
      <c r="CR39" s="204">
        <f t="shared" si="33"/>
        <v>29946.919494373287</v>
      </c>
      <c r="CS39" s="204">
        <f t="shared" ref="CS39:DA40" si="34">IF(CS$2&lt;=($B$2+$C$2+$D$2),IF(CS$2&lt;=($B$2+$C$2),IF(CS$2&lt;=$B$2,$B39,$C39),$D39),$E39)</f>
        <v>29946.919494373287</v>
      </c>
      <c r="CT39" s="204">
        <f t="shared" si="34"/>
        <v>29946.919494373287</v>
      </c>
      <c r="CU39" s="204">
        <f t="shared" si="34"/>
        <v>29946.919494373287</v>
      </c>
      <c r="CV39" s="204">
        <f t="shared" si="34"/>
        <v>29946.919494373287</v>
      </c>
      <c r="CW39" s="204">
        <f t="shared" si="34"/>
        <v>29946.919494373287</v>
      </c>
      <c r="CX39" s="204">
        <f t="shared" si="34"/>
        <v>29946.919494373287</v>
      </c>
      <c r="CY39" s="204">
        <f t="shared" si="34"/>
        <v>29946.919494373287</v>
      </c>
      <c r="CZ39" s="204">
        <f t="shared" si="34"/>
        <v>29946.919494373287</v>
      </c>
      <c r="DA39" s="204">
        <f t="shared" si="34"/>
        <v>29946.919494373287</v>
      </c>
    </row>
    <row r="40" spans="1:105">
      <c r="A40" s="201" t="str">
        <f>Income!A90</f>
        <v>Lower Bound Poverty line</v>
      </c>
      <c r="B40" s="203">
        <f>Income!B90</f>
        <v>47026.260538266135</v>
      </c>
      <c r="C40" s="203">
        <f>Income!C90</f>
        <v>47026.26053826612</v>
      </c>
      <c r="D40" s="203">
        <f>Income!D90</f>
        <v>47026.26053826612</v>
      </c>
      <c r="E40" s="203">
        <f>Income!E90</f>
        <v>47026.260538266128</v>
      </c>
      <c r="F40" s="204">
        <f t="shared" ref="F40:U40" si="35">IF(F$2&lt;=($B$2+$C$2+$D$2),IF(F$2&lt;=($B$2+$C$2),IF(F$2&lt;=$B$2,$B40,$C40),$D40),$E40)</f>
        <v>47026.260538266135</v>
      </c>
      <c r="G40" s="204">
        <f t="shared" si="35"/>
        <v>47026.260538266135</v>
      </c>
      <c r="H40" s="204">
        <f t="shared" si="35"/>
        <v>47026.260538266135</v>
      </c>
      <c r="I40" s="204">
        <f t="shared" si="35"/>
        <v>47026.260538266135</v>
      </c>
      <c r="J40" s="204">
        <f t="shared" si="35"/>
        <v>47026.260538266135</v>
      </c>
      <c r="K40" s="204">
        <f t="shared" si="35"/>
        <v>47026.260538266135</v>
      </c>
      <c r="L40" s="204">
        <f t="shared" si="35"/>
        <v>47026.260538266135</v>
      </c>
      <c r="M40" s="204">
        <f t="shared" si="35"/>
        <v>47026.260538266135</v>
      </c>
      <c r="N40" s="204">
        <f t="shared" si="35"/>
        <v>47026.260538266135</v>
      </c>
      <c r="O40" s="204">
        <f t="shared" si="35"/>
        <v>47026.260538266135</v>
      </c>
      <c r="P40" s="204">
        <f t="shared" si="35"/>
        <v>47026.260538266135</v>
      </c>
      <c r="Q40" s="204">
        <f t="shared" si="35"/>
        <v>47026.260538266135</v>
      </c>
      <c r="R40" s="204">
        <f t="shared" si="35"/>
        <v>47026.260538266135</v>
      </c>
      <c r="S40" s="204">
        <f t="shared" si="35"/>
        <v>47026.260538266135</v>
      </c>
      <c r="T40" s="204">
        <f t="shared" si="35"/>
        <v>47026.260538266135</v>
      </c>
      <c r="U40" s="204">
        <f t="shared" si="35"/>
        <v>47026.260538266135</v>
      </c>
      <c r="V40" s="204">
        <f t="shared" si="30"/>
        <v>47026.260538266135</v>
      </c>
      <c r="W40" s="204">
        <f t="shared" si="30"/>
        <v>47026.260538266135</v>
      </c>
      <c r="X40" s="204">
        <f t="shared" si="30"/>
        <v>47026.260538266135</v>
      </c>
      <c r="Y40" s="204">
        <f t="shared" si="30"/>
        <v>47026.260538266135</v>
      </c>
      <c r="Z40" s="204">
        <f t="shared" si="30"/>
        <v>47026.260538266135</v>
      </c>
      <c r="AA40" s="204">
        <f t="shared" si="30"/>
        <v>47026.260538266135</v>
      </c>
      <c r="AB40" s="204">
        <f t="shared" si="30"/>
        <v>47026.260538266135</v>
      </c>
      <c r="AC40" s="204">
        <f t="shared" si="30"/>
        <v>47026.260538266135</v>
      </c>
      <c r="AD40" s="204">
        <f t="shared" si="30"/>
        <v>47026.260538266135</v>
      </c>
      <c r="AE40" s="204">
        <f t="shared" si="30"/>
        <v>47026.260538266135</v>
      </c>
      <c r="AF40" s="204">
        <f t="shared" si="30"/>
        <v>47026.260538266135</v>
      </c>
      <c r="AG40" s="204">
        <f t="shared" si="30"/>
        <v>47026.260538266135</v>
      </c>
      <c r="AH40" s="204">
        <f t="shared" si="30"/>
        <v>47026.260538266135</v>
      </c>
      <c r="AI40" s="204">
        <f t="shared" si="30"/>
        <v>47026.260538266135</v>
      </c>
      <c r="AJ40" s="204">
        <f t="shared" si="30"/>
        <v>47026.260538266135</v>
      </c>
      <c r="AK40" s="204">
        <f t="shared" si="30"/>
        <v>47026.260538266135</v>
      </c>
      <c r="AL40" s="204">
        <f t="shared" si="31"/>
        <v>47026.260538266135</v>
      </c>
      <c r="AM40" s="204">
        <f t="shared" si="31"/>
        <v>47026.260538266135</v>
      </c>
      <c r="AN40" s="204">
        <f t="shared" si="31"/>
        <v>47026.260538266135</v>
      </c>
      <c r="AO40" s="204">
        <f t="shared" si="31"/>
        <v>47026.260538266135</v>
      </c>
      <c r="AP40" s="204">
        <f t="shared" si="31"/>
        <v>47026.260538266135</v>
      </c>
      <c r="AQ40" s="204">
        <f t="shared" si="31"/>
        <v>47026.260538266135</v>
      </c>
      <c r="AR40" s="204">
        <f t="shared" si="31"/>
        <v>47026.260538266135</v>
      </c>
      <c r="AS40" s="204">
        <f t="shared" si="31"/>
        <v>47026.260538266135</v>
      </c>
      <c r="AT40" s="204">
        <f t="shared" si="31"/>
        <v>47026.260538266135</v>
      </c>
      <c r="AU40" s="204">
        <f t="shared" si="31"/>
        <v>47026.260538266135</v>
      </c>
      <c r="AV40" s="204">
        <f t="shared" si="31"/>
        <v>47026.260538266135</v>
      </c>
      <c r="AW40" s="204">
        <f t="shared" si="31"/>
        <v>47026.260538266135</v>
      </c>
      <c r="AX40" s="204">
        <f t="shared" si="31"/>
        <v>47026.260538266135</v>
      </c>
      <c r="AY40" s="204">
        <f t="shared" si="31"/>
        <v>47026.260538266135</v>
      </c>
      <c r="AZ40" s="204">
        <f t="shared" si="31"/>
        <v>47026.260538266135</v>
      </c>
      <c r="BA40" s="204">
        <f t="shared" si="31"/>
        <v>47026.26053826612</v>
      </c>
      <c r="BB40" s="204">
        <f t="shared" si="32"/>
        <v>47026.26053826612</v>
      </c>
      <c r="BC40" s="204">
        <f t="shared" si="32"/>
        <v>47026.26053826612</v>
      </c>
      <c r="BD40" s="204">
        <f t="shared" si="32"/>
        <v>47026.26053826612</v>
      </c>
      <c r="BE40" s="204">
        <f t="shared" si="32"/>
        <v>47026.26053826612</v>
      </c>
      <c r="BF40" s="204">
        <f t="shared" si="32"/>
        <v>47026.26053826612</v>
      </c>
      <c r="BG40" s="204">
        <f t="shared" si="32"/>
        <v>47026.26053826612</v>
      </c>
      <c r="BH40" s="204">
        <f t="shared" si="32"/>
        <v>47026.26053826612</v>
      </c>
      <c r="BI40" s="204">
        <f t="shared" si="32"/>
        <v>47026.26053826612</v>
      </c>
      <c r="BJ40" s="204">
        <f t="shared" si="32"/>
        <v>47026.26053826612</v>
      </c>
      <c r="BK40" s="204">
        <f t="shared" si="32"/>
        <v>47026.26053826612</v>
      </c>
      <c r="BL40" s="204">
        <f t="shared" si="32"/>
        <v>47026.26053826612</v>
      </c>
      <c r="BM40" s="204">
        <f t="shared" si="32"/>
        <v>47026.26053826612</v>
      </c>
      <c r="BN40" s="204">
        <f t="shared" si="32"/>
        <v>47026.26053826612</v>
      </c>
      <c r="BO40" s="204">
        <f t="shared" si="32"/>
        <v>47026.26053826612</v>
      </c>
      <c r="BP40" s="204">
        <f t="shared" si="32"/>
        <v>47026.26053826612</v>
      </c>
      <c r="BQ40" s="204">
        <f t="shared" si="32"/>
        <v>47026.26053826612</v>
      </c>
      <c r="BR40" s="204">
        <f t="shared" si="32"/>
        <v>47026.26053826612</v>
      </c>
      <c r="BS40" s="204">
        <f t="shared" si="32"/>
        <v>47026.26053826612</v>
      </c>
      <c r="BT40" s="204">
        <f t="shared" si="32"/>
        <v>47026.26053826612</v>
      </c>
      <c r="BU40" s="204">
        <f t="shared" si="32"/>
        <v>47026.26053826612</v>
      </c>
      <c r="BV40" s="204">
        <f t="shared" si="32"/>
        <v>47026.26053826612</v>
      </c>
      <c r="BW40" s="204">
        <f t="shared" si="32"/>
        <v>47026.26053826612</v>
      </c>
      <c r="BX40" s="204">
        <f t="shared" si="32"/>
        <v>47026.26053826612</v>
      </c>
      <c r="BY40" s="204">
        <f t="shared" si="32"/>
        <v>47026.26053826612</v>
      </c>
      <c r="BZ40" s="204">
        <f t="shared" si="32"/>
        <v>47026.26053826612</v>
      </c>
      <c r="CA40" s="204">
        <f t="shared" si="32"/>
        <v>47026.26053826612</v>
      </c>
      <c r="CB40" s="204">
        <f t="shared" si="32"/>
        <v>47026.26053826612</v>
      </c>
      <c r="CC40" s="204">
        <f t="shared" si="32"/>
        <v>47026.26053826612</v>
      </c>
      <c r="CD40" s="204">
        <f t="shared" si="32"/>
        <v>47026.26053826612</v>
      </c>
      <c r="CE40" s="204">
        <f t="shared" si="33"/>
        <v>47026.26053826612</v>
      </c>
      <c r="CF40" s="204">
        <f t="shared" si="33"/>
        <v>47026.26053826612</v>
      </c>
      <c r="CG40" s="204">
        <f t="shared" si="33"/>
        <v>47026.26053826612</v>
      </c>
      <c r="CH40" s="204">
        <f t="shared" si="33"/>
        <v>47026.26053826612</v>
      </c>
      <c r="CI40" s="204">
        <f t="shared" si="33"/>
        <v>47026.26053826612</v>
      </c>
      <c r="CJ40" s="204">
        <f t="shared" si="33"/>
        <v>47026.26053826612</v>
      </c>
      <c r="CK40" s="204">
        <f t="shared" si="33"/>
        <v>47026.26053826612</v>
      </c>
      <c r="CL40" s="204">
        <f t="shared" si="33"/>
        <v>47026.26053826612</v>
      </c>
      <c r="CM40" s="204">
        <f t="shared" si="33"/>
        <v>47026.26053826612</v>
      </c>
      <c r="CN40" s="204">
        <f t="shared" si="33"/>
        <v>47026.26053826612</v>
      </c>
      <c r="CO40" s="204">
        <f t="shared" si="33"/>
        <v>47026.26053826612</v>
      </c>
      <c r="CP40" s="204">
        <f t="shared" si="33"/>
        <v>47026.26053826612</v>
      </c>
      <c r="CQ40" s="204">
        <f t="shared" si="33"/>
        <v>47026.26053826612</v>
      </c>
      <c r="CR40" s="204">
        <f t="shared" si="33"/>
        <v>47026.260538266128</v>
      </c>
      <c r="CS40" s="204">
        <f t="shared" si="34"/>
        <v>47026.260538266128</v>
      </c>
      <c r="CT40" s="204">
        <f t="shared" si="34"/>
        <v>47026.260538266128</v>
      </c>
      <c r="CU40" s="204">
        <f t="shared" si="34"/>
        <v>47026.260538266128</v>
      </c>
      <c r="CV40" s="204">
        <f t="shared" si="34"/>
        <v>47026.260538266128</v>
      </c>
      <c r="CW40" s="204">
        <f t="shared" si="34"/>
        <v>47026.260538266128</v>
      </c>
      <c r="CX40" s="204">
        <f t="shared" si="34"/>
        <v>47026.260538266128</v>
      </c>
      <c r="CY40" s="204">
        <f t="shared" si="34"/>
        <v>47026.260538266128</v>
      </c>
      <c r="CZ40" s="204">
        <f t="shared" si="34"/>
        <v>47026.260538266128</v>
      </c>
      <c r="DA40" s="204">
        <f t="shared" si="34"/>
        <v>47026.260538266128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49.458798702985163</v>
      </c>
      <c r="AE42" s="210">
        <f t="shared" si="36"/>
        <v>49.458798702985163</v>
      </c>
      <c r="AF42" s="210">
        <f t="shared" si="36"/>
        <v>49.458798702985163</v>
      </c>
      <c r="AG42" s="210">
        <f t="shared" si="36"/>
        <v>49.458798702985163</v>
      </c>
      <c r="AH42" s="210">
        <f t="shared" si="36"/>
        <v>49.458798702985163</v>
      </c>
      <c r="AI42" s="210">
        <f t="shared" si="36"/>
        <v>49.458798702985163</v>
      </c>
      <c r="AJ42" s="210">
        <f t="shared" si="36"/>
        <v>49.458798702985163</v>
      </c>
      <c r="AK42" s="210">
        <f t="shared" si="36"/>
        <v>49.458798702985163</v>
      </c>
      <c r="AL42" s="210">
        <f t="shared" ref="AL42:BQ42" si="37">IF(AL$22&lt;=$E$24,IF(AL$22&lt;=$D$24,IF(AL$22&lt;=$C$24,IF(AL$22&lt;=$B$24,$B108,($C25-$B25)/($C$24-$B$24)),($D25-$C25)/($D$24-$C$24)),($E25-$D25)/($E$24-$D$24)),$F108)</f>
        <v>49.458798702985163</v>
      </c>
      <c r="AM42" s="210">
        <f t="shared" si="37"/>
        <v>49.458798702985163</v>
      </c>
      <c r="AN42" s="210">
        <f t="shared" si="37"/>
        <v>49.458798702985163</v>
      </c>
      <c r="AO42" s="210">
        <f t="shared" si="37"/>
        <v>49.458798702985163</v>
      </c>
      <c r="AP42" s="210">
        <f t="shared" si="37"/>
        <v>49.458798702985163</v>
      </c>
      <c r="AQ42" s="210">
        <f t="shared" si="37"/>
        <v>49.458798702985163</v>
      </c>
      <c r="AR42" s="210">
        <f t="shared" si="37"/>
        <v>49.458798702985163</v>
      </c>
      <c r="AS42" s="210">
        <f t="shared" si="37"/>
        <v>49.458798702985163</v>
      </c>
      <c r="AT42" s="210">
        <f t="shared" si="37"/>
        <v>49.458798702985163</v>
      </c>
      <c r="AU42" s="210">
        <f t="shared" si="37"/>
        <v>49.458798702985163</v>
      </c>
      <c r="AV42" s="210">
        <f t="shared" si="37"/>
        <v>49.458798702985163</v>
      </c>
      <c r="AW42" s="210">
        <f t="shared" si="37"/>
        <v>49.458798702985163</v>
      </c>
      <c r="AX42" s="210">
        <f t="shared" si="37"/>
        <v>49.458798702985163</v>
      </c>
      <c r="AY42" s="210">
        <f t="shared" si="37"/>
        <v>49.458798702985163</v>
      </c>
      <c r="AZ42" s="210">
        <f t="shared" si="37"/>
        <v>49.458798702985163</v>
      </c>
      <c r="BA42" s="210">
        <f t="shared" si="37"/>
        <v>49.458798702985163</v>
      </c>
      <c r="BB42" s="210">
        <f t="shared" si="37"/>
        <v>49.458798702985163</v>
      </c>
      <c r="BC42" s="210">
        <f t="shared" si="37"/>
        <v>49.458798702985163</v>
      </c>
      <c r="BD42" s="210">
        <f t="shared" si="37"/>
        <v>49.458798702985163</v>
      </c>
      <c r="BE42" s="210">
        <f t="shared" si="37"/>
        <v>49.458798702985163</v>
      </c>
      <c r="BF42" s="210">
        <f t="shared" si="37"/>
        <v>49.458798702985163</v>
      </c>
      <c r="BG42" s="210">
        <f t="shared" si="37"/>
        <v>49.458798702985163</v>
      </c>
      <c r="BH42" s="210">
        <f t="shared" si="37"/>
        <v>49.458798702985163</v>
      </c>
      <c r="BI42" s="210">
        <f t="shared" si="37"/>
        <v>49.458798702985163</v>
      </c>
      <c r="BJ42" s="210">
        <f t="shared" si="37"/>
        <v>49.458798702985163</v>
      </c>
      <c r="BK42" s="210">
        <f t="shared" si="37"/>
        <v>49.458798702985163</v>
      </c>
      <c r="BL42" s="210">
        <f t="shared" si="37"/>
        <v>49.458798702985163</v>
      </c>
      <c r="BM42" s="210">
        <f t="shared" si="37"/>
        <v>49.458798702985163</v>
      </c>
      <c r="BN42" s="210">
        <f t="shared" si="37"/>
        <v>26.815871730524524</v>
      </c>
      <c r="BO42" s="210">
        <f t="shared" si="37"/>
        <v>26.815871730524524</v>
      </c>
      <c r="BP42" s="210">
        <f t="shared" si="37"/>
        <v>26.815871730524524</v>
      </c>
      <c r="BQ42" s="210">
        <f t="shared" si="37"/>
        <v>26.815871730524524</v>
      </c>
      <c r="BR42" s="210">
        <f t="shared" ref="BR42:DA42" si="38">IF(BR$22&lt;=$E$24,IF(BR$22&lt;=$D$24,IF(BR$22&lt;=$C$24,IF(BR$22&lt;=$B$24,$B108,($C25-$B25)/($C$24-$B$24)),($D25-$C25)/($D$24-$C$24)),($E25-$D25)/($E$24-$D$24)),$F108)</f>
        <v>26.815871730524524</v>
      </c>
      <c r="BS42" s="210">
        <f t="shared" si="38"/>
        <v>26.815871730524524</v>
      </c>
      <c r="BT42" s="210">
        <f t="shared" si="38"/>
        <v>26.815871730524524</v>
      </c>
      <c r="BU42" s="210">
        <f t="shared" si="38"/>
        <v>26.815871730524524</v>
      </c>
      <c r="BV42" s="210">
        <f t="shared" si="38"/>
        <v>26.815871730524524</v>
      </c>
      <c r="BW42" s="210">
        <f t="shared" si="38"/>
        <v>26.815871730524524</v>
      </c>
      <c r="BX42" s="210">
        <f t="shared" si="38"/>
        <v>26.815871730524524</v>
      </c>
      <c r="BY42" s="210">
        <f t="shared" si="38"/>
        <v>26.815871730524524</v>
      </c>
      <c r="BZ42" s="210">
        <f t="shared" si="38"/>
        <v>26.815871730524524</v>
      </c>
      <c r="CA42" s="210">
        <f t="shared" si="38"/>
        <v>26.815871730524524</v>
      </c>
      <c r="CB42" s="210">
        <f t="shared" si="38"/>
        <v>26.815871730524524</v>
      </c>
      <c r="CC42" s="210">
        <f t="shared" si="38"/>
        <v>26.815871730524524</v>
      </c>
      <c r="CD42" s="210">
        <f t="shared" si="38"/>
        <v>26.815871730524524</v>
      </c>
      <c r="CE42" s="210">
        <f t="shared" si="38"/>
        <v>26.815871730524524</v>
      </c>
      <c r="CF42" s="210">
        <f t="shared" si="38"/>
        <v>26.815871730524524</v>
      </c>
      <c r="CG42" s="210">
        <f t="shared" si="38"/>
        <v>26.815871730524524</v>
      </c>
      <c r="CH42" s="210">
        <f t="shared" si="38"/>
        <v>26.815871730524524</v>
      </c>
      <c r="CI42" s="210">
        <f t="shared" si="38"/>
        <v>26.815871730524524</v>
      </c>
      <c r="CJ42" s="210">
        <f t="shared" si="38"/>
        <v>-87.932869365282187</v>
      </c>
      <c r="CK42" s="210">
        <f t="shared" si="38"/>
        <v>-87.932869365282187</v>
      </c>
      <c r="CL42" s="210">
        <f t="shared" si="38"/>
        <v>-87.932869365282187</v>
      </c>
      <c r="CM42" s="210">
        <f t="shared" si="38"/>
        <v>-87.932869365282187</v>
      </c>
      <c r="CN42" s="210">
        <f t="shared" si="38"/>
        <v>-87.932869365282187</v>
      </c>
      <c r="CO42" s="210">
        <f t="shared" si="38"/>
        <v>-87.932869365282187</v>
      </c>
      <c r="CP42" s="210">
        <f t="shared" si="38"/>
        <v>-87.932869365282187</v>
      </c>
      <c r="CQ42" s="210">
        <f t="shared" si="38"/>
        <v>-87.932869365282187</v>
      </c>
      <c r="CR42" s="210">
        <f t="shared" si="38"/>
        <v>-87.932869365282187</v>
      </c>
      <c r="CS42" s="210">
        <f t="shared" si="38"/>
        <v>-87.932869365282187</v>
      </c>
      <c r="CT42" s="210">
        <f t="shared" si="38"/>
        <v>-87.932869365282187</v>
      </c>
      <c r="CU42" s="210">
        <f t="shared" si="38"/>
        <v>-87.932869365282187</v>
      </c>
      <c r="CV42" s="210">
        <f t="shared" si="38"/>
        <v>-87.932869365282187</v>
      </c>
      <c r="CW42" s="210">
        <f t="shared" si="38"/>
        <v>-87.932869365282187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52.243333333333325</v>
      </c>
      <c r="AE43" s="210">
        <f t="shared" si="39"/>
        <v>52.243333333333325</v>
      </c>
      <c r="AF43" s="210">
        <f t="shared" si="39"/>
        <v>52.243333333333325</v>
      </c>
      <c r="AG43" s="210">
        <f t="shared" si="39"/>
        <v>52.243333333333325</v>
      </c>
      <c r="AH43" s="210">
        <f t="shared" si="39"/>
        <v>52.243333333333325</v>
      </c>
      <c r="AI43" s="210">
        <f t="shared" si="39"/>
        <v>52.243333333333325</v>
      </c>
      <c r="AJ43" s="210">
        <f t="shared" si="39"/>
        <v>52.243333333333325</v>
      </c>
      <c r="AK43" s="210">
        <f t="shared" si="39"/>
        <v>52.243333333333325</v>
      </c>
      <c r="AL43" s="210">
        <f t="shared" ref="AL43:BQ43" si="40">IF(AL$22&lt;=$E$24,IF(AL$22&lt;=$D$24,IF(AL$22&lt;=$C$24,IF(AL$22&lt;=$B$24,$B109,($C26-$B26)/($C$24-$B$24)),($D26-$C26)/($D$24-$C$24)),($E26-$D26)/($E$24-$D$24)),$F109)</f>
        <v>52.243333333333325</v>
      </c>
      <c r="AM43" s="210">
        <f t="shared" si="40"/>
        <v>52.243333333333325</v>
      </c>
      <c r="AN43" s="210">
        <f t="shared" si="40"/>
        <v>52.243333333333325</v>
      </c>
      <c r="AO43" s="210">
        <f t="shared" si="40"/>
        <v>52.243333333333325</v>
      </c>
      <c r="AP43" s="210">
        <f t="shared" si="40"/>
        <v>52.243333333333325</v>
      </c>
      <c r="AQ43" s="210">
        <f t="shared" si="40"/>
        <v>52.243333333333325</v>
      </c>
      <c r="AR43" s="210">
        <f t="shared" si="40"/>
        <v>52.243333333333325</v>
      </c>
      <c r="AS43" s="210">
        <f t="shared" si="40"/>
        <v>52.243333333333325</v>
      </c>
      <c r="AT43" s="210">
        <f t="shared" si="40"/>
        <v>52.243333333333325</v>
      </c>
      <c r="AU43" s="210">
        <f t="shared" si="40"/>
        <v>52.243333333333325</v>
      </c>
      <c r="AV43" s="210">
        <f t="shared" si="40"/>
        <v>52.243333333333325</v>
      </c>
      <c r="AW43" s="210">
        <f t="shared" si="40"/>
        <v>52.243333333333325</v>
      </c>
      <c r="AX43" s="210">
        <f t="shared" si="40"/>
        <v>52.243333333333325</v>
      </c>
      <c r="AY43" s="210">
        <f t="shared" si="40"/>
        <v>52.243333333333325</v>
      </c>
      <c r="AZ43" s="210">
        <f t="shared" si="40"/>
        <v>52.243333333333325</v>
      </c>
      <c r="BA43" s="210">
        <f t="shared" si="40"/>
        <v>52.243333333333325</v>
      </c>
      <c r="BB43" s="210">
        <f t="shared" si="40"/>
        <v>52.243333333333325</v>
      </c>
      <c r="BC43" s="210">
        <f t="shared" si="40"/>
        <v>52.243333333333325</v>
      </c>
      <c r="BD43" s="210">
        <f t="shared" si="40"/>
        <v>52.243333333333325</v>
      </c>
      <c r="BE43" s="210">
        <f t="shared" si="40"/>
        <v>52.243333333333325</v>
      </c>
      <c r="BF43" s="210">
        <f t="shared" si="40"/>
        <v>52.243333333333325</v>
      </c>
      <c r="BG43" s="210">
        <f t="shared" si="40"/>
        <v>52.243333333333325</v>
      </c>
      <c r="BH43" s="210">
        <f t="shared" si="40"/>
        <v>52.243333333333325</v>
      </c>
      <c r="BI43" s="210">
        <f t="shared" si="40"/>
        <v>52.243333333333325</v>
      </c>
      <c r="BJ43" s="210">
        <f t="shared" si="40"/>
        <v>52.243333333333325</v>
      </c>
      <c r="BK43" s="210">
        <f t="shared" si="40"/>
        <v>52.243333333333325</v>
      </c>
      <c r="BL43" s="210">
        <f t="shared" si="40"/>
        <v>52.243333333333325</v>
      </c>
      <c r="BM43" s="210">
        <f t="shared" si="40"/>
        <v>52.243333333333325</v>
      </c>
      <c r="BN43" s="210">
        <f t="shared" si="40"/>
        <v>140.65116279069767</v>
      </c>
      <c r="BO43" s="210">
        <f t="shared" si="40"/>
        <v>140.65116279069767</v>
      </c>
      <c r="BP43" s="210">
        <f t="shared" si="40"/>
        <v>140.65116279069767</v>
      </c>
      <c r="BQ43" s="210">
        <f t="shared" si="40"/>
        <v>140.65116279069767</v>
      </c>
      <c r="BR43" s="210">
        <f t="shared" ref="BR43:DA43" si="41">IF(BR$22&lt;=$E$24,IF(BR$22&lt;=$D$24,IF(BR$22&lt;=$C$24,IF(BR$22&lt;=$B$24,$B109,($C26-$B26)/($C$24-$B$24)),($D26-$C26)/($D$24-$C$24)),($E26-$D26)/($E$24-$D$24)),$F109)</f>
        <v>140.65116279069767</v>
      </c>
      <c r="BS43" s="210">
        <f t="shared" si="41"/>
        <v>140.65116279069767</v>
      </c>
      <c r="BT43" s="210">
        <f t="shared" si="41"/>
        <v>140.65116279069767</v>
      </c>
      <c r="BU43" s="210">
        <f t="shared" si="41"/>
        <v>140.65116279069767</v>
      </c>
      <c r="BV43" s="210">
        <f t="shared" si="41"/>
        <v>140.65116279069767</v>
      </c>
      <c r="BW43" s="210">
        <f t="shared" si="41"/>
        <v>140.65116279069767</v>
      </c>
      <c r="BX43" s="210">
        <f t="shared" si="41"/>
        <v>140.65116279069767</v>
      </c>
      <c r="BY43" s="210">
        <f t="shared" si="41"/>
        <v>140.65116279069767</v>
      </c>
      <c r="BZ43" s="210">
        <f t="shared" si="41"/>
        <v>140.65116279069767</v>
      </c>
      <c r="CA43" s="210">
        <f t="shared" si="41"/>
        <v>140.65116279069767</v>
      </c>
      <c r="CB43" s="210">
        <f t="shared" si="41"/>
        <v>140.65116279069767</v>
      </c>
      <c r="CC43" s="210">
        <f t="shared" si="41"/>
        <v>140.65116279069767</v>
      </c>
      <c r="CD43" s="210">
        <f t="shared" si="41"/>
        <v>140.65116279069767</v>
      </c>
      <c r="CE43" s="210">
        <f t="shared" si="41"/>
        <v>140.65116279069767</v>
      </c>
      <c r="CF43" s="210">
        <f t="shared" si="41"/>
        <v>140.65116279069767</v>
      </c>
      <c r="CG43" s="210">
        <f t="shared" si="41"/>
        <v>140.65116279069767</v>
      </c>
      <c r="CH43" s="210">
        <f t="shared" si="41"/>
        <v>140.65116279069767</v>
      </c>
      <c r="CI43" s="210">
        <f t="shared" si="41"/>
        <v>140.65116279069767</v>
      </c>
      <c r="CJ43" s="210">
        <f t="shared" si="41"/>
        <v>678.33333333333326</v>
      </c>
      <c r="CK43" s="210">
        <f t="shared" si="41"/>
        <v>678.33333333333326</v>
      </c>
      <c r="CL43" s="210">
        <f t="shared" si="41"/>
        <v>678.33333333333326</v>
      </c>
      <c r="CM43" s="210">
        <f t="shared" si="41"/>
        <v>678.33333333333326</v>
      </c>
      <c r="CN43" s="210">
        <f t="shared" si="41"/>
        <v>678.33333333333326</v>
      </c>
      <c r="CO43" s="210">
        <f t="shared" si="41"/>
        <v>678.33333333333326</v>
      </c>
      <c r="CP43" s="210">
        <f t="shared" si="41"/>
        <v>678.33333333333326</v>
      </c>
      <c r="CQ43" s="210">
        <f t="shared" si="41"/>
        <v>678.33333333333326</v>
      </c>
      <c r="CR43" s="210">
        <f t="shared" si="41"/>
        <v>678.33333333333326</v>
      </c>
      <c r="CS43" s="210">
        <f t="shared" si="41"/>
        <v>678.33333333333326</v>
      </c>
      <c r="CT43" s="210">
        <f t="shared" si="41"/>
        <v>678.33333333333326</v>
      </c>
      <c r="CU43" s="210">
        <f t="shared" si="41"/>
        <v>678.33333333333326</v>
      </c>
      <c r="CV43" s="210">
        <f t="shared" si="41"/>
        <v>678.33333333333326</v>
      </c>
      <c r="CW43" s="210">
        <f t="shared" si="41"/>
        <v>678.33333333333326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4.9511038903114075</v>
      </c>
      <c r="AE44" s="210">
        <f t="shared" si="42"/>
        <v>4.9511038903114075</v>
      </c>
      <c r="AF44" s="210">
        <f t="shared" si="42"/>
        <v>4.9511038903114075</v>
      </c>
      <c r="AG44" s="210">
        <f t="shared" si="42"/>
        <v>4.9511038903114075</v>
      </c>
      <c r="AH44" s="210">
        <f t="shared" si="42"/>
        <v>4.9511038903114075</v>
      </c>
      <c r="AI44" s="210">
        <f t="shared" si="42"/>
        <v>4.9511038903114075</v>
      </c>
      <c r="AJ44" s="210">
        <f t="shared" si="42"/>
        <v>4.9511038903114075</v>
      </c>
      <c r="AK44" s="210">
        <f t="shared" si="42"/>
        <v>4.9511038903114075</v>
      </c>
      <c r="AL44" s="210">
        <f t="shared" ref="AL44:BQ44" si="43">IF(AL$22&lt;=$E$24,IF(AL$22&lt;=$D$24,IF(AL$22&lt;=$C$24,IF(AL$22&lt;=$B$24,$B110,($C27-$B27)/($C$24-$B$24)),($D27-$C27)/($D$24-$C$24)),($E27-$D27)/($E$24-$D$24)),$F110)</f>
        <v>4.9511038903114075</v>
      </c>
      <c r="AM44" s="210">
        <f t="shared" si="43"/>
        <v>4.9511038903114075</v>
      </c>
      <c r="AN44" s="210">
        <f t="shared" si="43"/>
        <v>4.9511038903114075</v>
      </c>
      <c r="AO44" s="210">
        <f t="shared" si="43"/>
        <v>4.9511038903114075</v>
      </c>
      <c r="AP44" s="210">
        <f t="shared" si="43"/>
        <v>4.9511038903114075</v>
      </c>
      <c r="AQ44" s="210">
        <f t="shared" si="43"/>
        <v>4.9511038903114075</v>
      </c>
      <c r="AR44" s="210">
        <f t="shared" si="43"/>
        <v>4.9511038903114075</v>
      </c>
      <c r="AS44" s="210">
        <f t="shared" si="43"/>
        <v>4.9511038903114075</v>
      </c>
      <c r="AT44" s="210">
        <f t="shared" si="43"/>
        <v>4.9511038903114075</v>
      </c>
      <c r="AU44" s="210">
        <f t="shared" si="43"/>
        <v>4.9511038903114075</v>
      </c>
      <c r="AV44" s="210">
        <f t="shared" si="43"/>
        <v>4.9511038903114075</v>
      </c>
      <c r="AW44" s="210">
        <f t="shared" si="43"/>
        <v>4.9511038903114075</v>
      </c>
      <c r="AX44" s="210">
        <f t="shared" si="43"/>
        <v>4.9511038903114075</v>
      </c>
      <c r="AY44" s="210">
        <f t="shared" si="43"/>
        <v>4.9511038903114075</v>
      </c>
      <c r="AZ44" s="210">
        <f t="shared" si="43"/>
        <v>4.9511038903114075</v>
      </c>
      <c r="BA44" s="210">
        <f t="shared" si="43"/>
        <v>4.9511038903114075</v>
      </c>
      <c r="BB44" s="210">
        <f t="shared" si="43"/>
        <v>4.9511038903114075</v>
      </c>
      <c r="BC44" s="210">
        <f t="shared" si="43"/>
        <v>4.9511038903114075</v>
      </c>
      <c r="BD44" s="210">
        <f t="shared" si="43"/>
        <v>4.9511038903114075</v>
      </c>
      <c r="BE44" s="210">
        <f t="shared" si="43"/>
        <v>4.9511038903114075</v>
      </c>
      <c r="BF44" s="210">
        <f t="shared" si="43"/>
        <v>4.9511038903114075</v>
      </c>
      <c r="BG44" s="210">
        <f t="shared" si="43"/>
        <v>4.9511038903114075</v>
      </c>
      <c r="BH44" s="210">
        <f t="shared" si="43"/>
        <v>4.9511038903114075</v>
      </c>
      <c r="BI44" s="210">
        <f t="shared" si="43"/>
        <v>4.9511038903114075</v>
      </c>
      <c r="BJ44" s="210">
        <f t="shared" si="43"/>
        <v>4.9511038903114075</v>
      </c>
      <c r="BK44" s="210">
        <f t="shared" si="43"/>
        <v>4.9511038903114075</v>
      </c>
      <c r="BL44" s="210">
        <f t="shared" si="43"/>
        <v>4.9511038903114075</v>
      </c>
      <c r="BM44" s="210">
        <f t="shared" si="43"/>
        <v>4.9511038903114075</v>
      </c>
      <c r="BN44" s="210">
        <f t="shared" si="43"/>
        <v>10.376819465313924</v>
      </c>
      <c r="BO44" s="210">
        <f t="shared" si="43"/>
        <v>10.376819465313924</v>
      </c>
      <c r="BP44" s="210">
        <f t="shared" si="43"/>
        <v>10.376819465313924</v>
      </c>
      <c r="BQ44" s="210">
        <f t="shared" si="43"/>
        <v>10.376819465313924</v>
      </c>
      <c r="BR44" s="210">
        <f t="shared" ref="BR44:DA44" si="44">IF(BR$22&lt;=$E$24,IF(BR$22&lt;=$D$24,IF(BR$22&lt;=$C$24,IF(BR$22&lt;=$B$24,$B110,($C27-$B27)/($C$24-$B$24)),($D27-$C27)/($D$24-$C$24)),($E27-$D27)/($E$24-$D$24)),$F110)</f>
        <v>10.376819465313924</v>
      </c>
      <c r="BS44" s="210">
        <f t="shared" si="44"/>
        <v>10.376819465313924</v>
      </c>
      <c r="BT44" s="210">
        <f t="shared" si="44"/>
        <v>10.376819465313924</v>
      </c>
      <c r="BU44" s="210">
        <f t="shared" si="44"/>
        <v>10.376819465313924</v>
      </c>
      <c r="BV44" s="210">
        <f t="shared" si="44"/>
        <v>10.376819465313924</v>
      </c>
      <c r="BW44" s="210">
        <f t="shared" si="44"/>
        <v>10.376819465313924</v>
      </c>
      <c r="BX44" s="210">
        <f t="shared" si="44"/>
        <v>10.376819465313924</v>
      </c>
      <c r="BY44" s="210">
        <f t="shared" si="44"/>
        <v>10.376819465313924</v>
      </c>
      <c r="BZ44" s="210">
        <f t="shared" si="44"/>
        <v>10.376819465313924</v>
      </c>
      <c r="CA44" s="210">
        <f t="shared" si="44"/>
        <v>10.376819465313924</v>
      </c>
      <c r="CB44" s="210">
        <f t="shared" si="44"/>
        <v>10.376819465313924</v>
      </c>
      <c r="CC44" s="210">
        <f t="shared" si="44"/>
        <v>10.376819465313924</v>
      </c>
      <c r="CD44" s="210">
        <f t="shared" si="44"/>
        <v>10.376819465313924</v>
      </c>
      <c r="CE44" s="210">
        <f t="shared" si="44"/>
        <v>10.376819465313924</v>
      </c>
      <c r="CF44" s="210">
        <f t="shared" si="44"/>
        <v>10.376819465313924</v>
      </c>
      <c r="CG44" s="210">
        <f t="shared" si="44"/>
        <v>10.376819465313924</v>
      </c>
      <c r="CH44" s="210">
        <f t="shared" si="44"/>
        <v>10.376819465313924</v>
      </c>
      <c r="CI44" s="210">
        <f t="shared" si="44"/>
        <v>10.376819465313924</v>
      </c>
      <c r="CJ44" s="210">
        <f t="shared" si="44"/>
        <v>92.165386575822566</v>
      </c>
      <c r="CK44" s="210">
        <f t="shared" si="44"/>
        <v>92.165386575822566</v>
      </c>
      <c r="CL44" s="210">
        <f t="shared" si="44"/>
        <v>92.165386575822566</v>
      </c>
      <c r="CM44" s="210">
        <f t="shared" si="44"/>
        <v>92.165386575822566</v>
      </c>
      <c r="CN44" s="210">
        <f t="shared" si="44"/>
        <v>92.165386575822566</v>
      </c>
      <c r="CO44" s="210">
        <f t="shared" si="44"/>
        <v>92.165386575822566</v>
      </c>
      <c r="CP44" s="210">
        <f t="shared" si="44"/>
        <v>92.165386575822566</v>
      </c>
      <c r="CQ44" s="210">
        <f t="shared" si="44"/>
        <v>92.165386575822566</v>
      </c>
      <c r="CR44" s="210">
        <f t="shared" si="44"/>
        <v>92.165386575822566</v>
      </c>
      <c r="CS44" s="210">
        <f t="shared" si="44"/>
        <v>92.165386575822566</v>
      </c>
      <c r="CT44" s="210">
        <f t="shared" si="44"/>
        <v>92.165386575822566</v>
      </c>
      <c r="CU44" s="210">
        <f t="shared" si="44"/>
        <v>92.165386575822566</v>
      </c>
      <c r="CV44" s="210">
        <f t="shared" si="44"/>
        <v>92.165386575822566</v>
      </c>
      <c r="CW44" s="210">
        <f t="shared" si="44"/>
        <v>92.165386575822566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62.222222222222221</v>
      </c>
      <c r="AE46" s="210">
        <f t="shared" si="48"/>
        <v>62.222222222222221</v>
      </c>
      <c r="AF46" s="210">
        <f t="shared" si="48"/>
        <v>62.222222222222221</v>
      </c>
      <c r="AG46" s="210">
        <f t="shared" si="48"/>
        <v>62.222222222222221</v>
      </c>
      <c r="AH46" s="210">
        <f t="shared" si="48"/>
        <v>62.222222222222221</v>
      </c>
      <c r="AI46" s="210">
        <f t="shared" si="48"/>
        <v>62.222222222222221</v>
      </c>
      <c r="AJ46" s="210">
        <f t="shared" si="48"/>
        <v>62.222222222222221</v>
      </c>
      <c r="AK46" s="210">
        <f t="shared" si="48"/>
        <v>62.222222222222221</v>
      </c>
      <c r="AL46" s="210">
        <f t="shared" ref="AL46:BQ46" si="49">IF(AL$22&lt;=$E$24,IF(AL$22&lt;=$D$24,IF(AL$22&lt;=$C$24,IF(AL$22&lt;=$B$24,$B112,($C29-$B29)/($C$24-$B$24)),($D29-$C29)/($D$24-$C$24)),($E29-$D29)/($E$24-$D$24)),$F112)</f>
        <v>62.222222222222221</v>
      </c>
      <c r="AM46" s="210">
        <f t="shared" si="49"/>
        <v>62.222222222222221</v>
      </c>
      <c r="AN46" s="210">
        <f t="shared" si="49"/>
        <v>62.222222222222221</v>
      </c>
      <c r="AO46" s="210">
        <f t="shared" si="49"/>
        <v>62.222222222222221</v>
      </c>
      <c r="AP46" s="210">
        <f t="shared" si="49"/>
        <v>62.222222222222221</v>
      </c>
      <c r="AQ46" s="210">
        <f t="shared" si="49"/>
        <v>62.222222222222221</v>
      </c>
      <c r="AR46" s="210">
        <f t="shared" si="49"/>
        <v>62.222222222222221</v>
      </c>
      <c r="AS46" s="210">
        <f t="shared" si="49"/>
        <v>62.222222222222221</v>
      </c>
      <c r="AT46" s="210">
        <f t="shared" si="49"/>
        <v>62.222222222222221</v>
      </c>
      <c r="AU46" s="210">
        <f t="shared" si="49"/>
        <v>62.222222222222221</v>
      </c>
      <c r="AV46" s="210">
        <f t="shared" si="49"/>
        <v>62.222222222222221</v>
      </c>
      <c r="AW46" s="210">
        <f t="shared" si="49"/>
        <v>62.222222222222221</v>
      </c>
      <c r="AX46" s="210">
        <f t="shared" si="49"/>
        <v>62.222222222222221</v>
      </c>
      <c r="AY46" s="210">
        <f t="shared" si="49"/>
        <v>62.222222222222221</v>
      </c>
      <c r="AZ46" s="210">
        <f t="shared" si="49"/>
        <v>62.222222222222221</v>
      </c>
      <c r="BA46" s="210">
        <f t="shared" si="49"/>
        <v>62.222222222222221</v>
      </c>
      <c r="BB46" s="210">
        <f t="shared" si="49"/>
        <v>62.222222222222221</v>
      </c>
      <c r="BC46" s="210">
        <f t="shared" si="49"/>
        <v>62.222222222222221</v>
      </c>
      <c r="BD46" s="210">
        <f t="shared" si="49"/>
        <v>62.222222222222221</v>
      </c>
      <c r="BE46" s="210">
        <f t="shared" si="49"/>
        <v>62.222222222222221</v>
      </c>
      <c r="BF46" s="210">
        <f t="shared" si="49"/>
        <v>62.222222222222221</v>
      </c>
      <c r="BG46" s="210">
        <f t="shared" si="49"/>
        <v>62.222222222222221</v>
      </c>
      <c r="BH46" s="210">
        <f t="shared" si="49"/>
        <v>62.222222222222221</v>
      </c>
      <c r="BI46" s="210">
        <f t="shared" si="49"/>
        <v>62.222222222222221</v>
      </c>
      <c r="BJ46" s="210">
        <f t="shared" si="49"/>
        <v>62.222222222222221</v>
      </c>
      <c r="BK46" s="210">
        <f t="shared" si="49"/>
        <v>62.222222222222221</v>
      </c>
      <c r="BL46" s="210">
        <f t="shared" si="49"/>
        <v>62.222222222222221</v>
      </c>
      <c r="BM46" s="210">
        <f t="shared" si="49"/>
        <v>62.222222222222221</v>
      </c>
      <c r="BN46" s="210">
        <f t="shared" si="49"/>
        <v>354.23255813953489</v>
      </c>
      <c r="BO46" s="210">
        <f t="shared" si="49"/>
        <v>354.23255813953489</v>
      </c>
      <c r="BP46" s="210">
        <f t="shared" si="49"/>
        <v>354.23255813953489</v>
      </c>
      <c r="BQ46" s="210">
        <f t="shared" si="49"/>
        <v>354.23255813953489</v>
      </c>
      <c r="BR46" s="210">
        <f t="shared" ref="BR46:DA46" si="50">IF(BR$22&lt;=$E$24,IF(BR$22&lt;=$D$24,IF(BR$22&lt;=$C$24,IF(BR$22&lt;=$B$24,$B112,($C29-$B29)/($C$24-$B$24)),($D29-$C29)/($D$24-$C$24)),($E29-$D29)/($E$24-$D$24)),$F112)</f>
        <v>354.23255813953489</v>
      </c>
      <c r="BS46" s="210">
        <f t="shared" si="50"/>
        <v>354.23255813953489</v>
      </c>
      <c r="BT46" s="210">
        <f t="shared" si="50"/>
        <v>354.23255813953489</v>
      </c>
      <c r="BU46" s="210">
        <f t="shared" si="50"/>
        <v>354.23255813953489</v>
      </c>
      <c r="BV46" s="210">
        <f t="shared" si="50"/>
        <v>354.23255813953489</v>
      </c>
      <c r="BW46" s="210">
        <f t="shared" si="50"/>
        <v>354.23255813953489</v>
      </c>
      <c r="BX46" s="210">
        <f t="shared" si="50"/>
        <v>354.23255813953489</v>
      </c>
      <c r="BY46" s="210">
        <f t="shared" si="50"/>
        <v>354.23255813953489</v>
      </c>
      <c r="BZ46" s="210">
        <f t="shared" si="50"/>
        <v>354.23255813953489</v>
      </c>
      <c r="CA46" s="210">
        <f t="shared" si="50"/>
        <v>354.23255813953489</v>
      </c>
      <c r="CB46" s="210">
        <f t="shared" si="50"/>
        <v>354.23255813953489</v>
      </c>
      <c r="CC46" s="210">
        <f t="shared" si="50"/>
        <v>354.23255813953489</v>
      </c>
      <c r="CD46" s="210">
        <f t="shared" si="50"/>
        <v>354.23255813953489</v>
      </c>
      <c r="CE46" s="210">
        <f t="shared" si="50"/>
        <v>354.23255813953489</v>
      </c>
      <c r="CF46" s="210">
        <f t="shared" si="50"/>
        <v>354.23255813953489</v>
      </c>
      <c r="CG46" s="210">
        <f t="shared" si="50"/>
        <v>354.23255813953489</v>
      </c>
      <c r="CH46" s="210">
        <f t="shared" si="50"/>
        <v>354.23255813953489</v>
      </c>
      <c r="CI46" s="210">
        <f t="shared" si="50"/>
        <v>354.23255813953489</v>
      </c>
      <c r="CJ46" s="210">
        <f t="shared" si="50"/>
        <v>1643.3333333333333</v>
      </c>
      <c r="CK46" s="210">
        <f t="shared" si="50"/>
        <v>1643.3333333333333</v>
      </c>
      <c r="CL46" s="210">
        <f t="shared" si="50"/>
        <v>1643.3333333333333</v>
      </c>
      <c r="CM46" s="210">
        <f t="shared" si="50"/>
        <v>1643.3333333333333</v>
      </c>
      <c r="CN46" s="210">
        <f t="shared" si="50"/>
        <v>1643.3333333333333</v>
      </c>
      <c r="CO46" s="210">
        <f t="shared" si="50"/>
        <v>1643.3333333333333</v>
      </c>
      <c r="CP46" s="210">
        <f t="shared" si="50"/>
        <v>1643.3333333333333</v>
      </c>
      <c r="CQ46" s="210">
        <f t="shared" si="50"/>
        <v>1643.3333333333333</v>
      </c>
      <c r="CR46" s="210">
        <f t="shared" si="50"/>
        <v>1643.3333333333333</v>
      </c>
      <c r="CS46" s="210">
        <f t="shared" si="50"/>
        <v>1643.3333333333333</v>
      </c>
      <c r="CT46" s="210">
        <f t="shared" si="50"/>
        <v>1643.3333333333333</v>
      </c>
      <c r="CU46" s="210">
        <f t="shared" si="50"/>
        <v>1643.3333333333333</v>
      </c>
      <c r="CV46" s="210">
        <f t="shared" si="50"/>
        <v>1643.3333333333333</v>
      </c>
      <c r="CW46" s="210">
        <f t="shared" si="50"/>
        <v>1643.3333333333333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33.87093897902281</v>
      </c>
      <c r="AE47" s="210">
        <f t="shared" si="51"/>
        <v>33.87093897902281</v>
      </c>
      <c r="AF47" s="210">
        <f t="shared" si="51"/>
        <v>33.87093897902281</v>
      </c>
      <c r="AG47" s="210">
        <f t="shared" si="51"/>
        <v>33.87093897902281</v>
      </c>
      <c r="AH47" s="210">
        <f t="shared" si="51"/>
        <v>33.87093897902281</v>
      </c>
      <c r="AI47" s="210">
        <f t="shared" si="51"/>
        <v>33.87093897902281</v>
      </c>
      <c r="AJ47" s="210">
        <f t="shared" si="51"/>
        <v>33.87093897902281</v>
      </c>
      <c r="AK47" s="210">
        <f t="shared" si="51"/>
        <v>33.87093897902281</v>
      </c>
      <c r="AL47" s="210">
        <f t="shared" ref="AL47:BQ47" si="52">IF(AL$22&lt;=$E$24,IF(AL$22&lt;=$D$24,IF(AL$22&lt;=$C$24,IF(AL$22&lt;=$B$24,$B113,($C30-$B30)/($C$24-$B$24)),($D30-$C30)/($D$24-$C$24)),($E30-$D30)/($E$24-$D$24)),$F113)</f>
        <v>33.87093897902281</v>
      </c>
      <c r="AM47" s="210">
        <f t="shared" si="52"/>
        <v>33.87093897902281</v>
      </c>
      <c r="AN47" s="210">
        <f t="shared" si="52"/>
        <v>33.87093897902281</v>
      </c>
      <c r="AO47" s="210">
        <f t="shared" si="52"/>
        <v>33.87093897902281</v>
      </c>
      <c r="AP47" s="210">
        <f t="shared" si="52"/>
        <v>33.87093897902281</v>
      </c>
      <c r="AQ47" s="210">
        <f t="shared" si="52"/>
        <v>33.87093897902281</v>
      </c>
      <c r="AR47" s="210">
        <f t="shared" si="52"/>
        <v>33.87093897902281</v>
      </c>
      <c r="AS47" s="210">
        <f t="shared" si="52"/>
        <v>33.87093897902281</v>
      </c>
      <c r="AT47" s="210">
        <f t="shared" si="52"/>
        <v>33.87093897902281</v>
      </c>
      <c r="AU47" s="210">
        <f t="shared" si="52"/>
        <v>33.87093897902281</v>
      </c>
      <c r="AV47" s="210">
        <f t="shared" si="52"/>
        <v>33.87093897902281</v>
      </c>
      <c r="AW47" s="210">
        <f t="shared" si="52"/>
        <v>33.87093897902281</v>
      </c>
      <c r="AX47" s="210">
        <f t="shared" si="52"/>
        <v>33.87093897902281</v>
      </c>
      <c r="AY47" s="210">
        <f t="shared" si="52"/>
        <v>33.87093897902281</v>
      </c>
      <c r="AZ47" s="210">
        <f t="shared" si="52"/>
        <v>33.87093897902281</v>
      </c>
      <c r="BA47" s="210">
        <f t="shared" si="52"/>
        <v>33.87093897902281</v>
      </c>
      <c r="BB47" s="210">
        <f t="shared" si="52"/>
        <v>33.87093897902281</v>
      </c>
      <c r="BC47" s="210">
        <f t="shared" si="52"/>
        <v>33.87093897902281</v>
      </c>
      <c r="BD47" s="210">
        <f t="shared" si="52"/>
        <v>33.87093897902281</v>
      </c>
      <c r="BE47" s="210">
        <f t="shared" si="52"/>
        <v>33.87093897902281</v>
      </c>
      <c r="BF47" s="210">
        <f t="shared" si="52"/>
        <v>33.87093897902281</v>
      </c>
      <c r="BG47" s="210">
        <f t="shared" si="52"/>
        <v>33.87093897902281</v>
      </c>
      <c r="BH47" s="210">
        <f t="shared" si="52"/>
        <v>33.87093897902281</v>
      </c>
      <c r="BI47" s="210">
        <f t="shared" si="52"/>
        <v>33.87093897902281</v>
      </c>
      <c r="BJ47" s="210">
        <f t="shared" si="52"/>
        <v>33.87093897902281</v>
      </c>
      <c r="BK47" s="210">
        <f t="shared" si="52"/>
        <v>33.87093897902281</v>
      </c>
      <c r="BL47" s="210">
        <f t="shared" si="52"/>
        <v>33.87093897902281</v>
      </c>
      <c r="BM47" s="210">
        <f t="shared" si="52"/>
        <v>33.87093897902281</v>
      </c>
      <c r="BN47" s="210">
        <f t="shared" si="52"/>
        <v>-121.37674418604655</v>
      </c>
      <c r="BO47" s="210">
        <f t="shared" si="52"/>
        <v>-121.37674418604655</v>
      </c>
      <c r="BP47" s="210">
        <f t="shared" si="52"/>
        <v>-121.37674418604655</v>
      </c>
      <c r="BQ47" s="210">
        <f t="shared" si="52"/>
        <v>-121.37674418604655</v>
      </c>
      <c r="BR47" s="210">
        <f t="shared" ref="BR47:DA47" si="53">IF(BR$22&lt;=$E$24,IF(BR$22&lt;=$D$24,IF(BR$22&lt;=$C$24,IF(BR$22&lt;=$B$24,$B113,($C30-$B30)/($C$24-$B$24)),($D30-$C30)/($D$24-$C$24)),($E30-$D30)/($E$24-$D$24)),$F113)</f>
        <v>-121.37674418604655</v>
      </c>
      <c r="BS47" s="210">
        <f t="shared" si="53"/>
        <v>-121.37674418604655</v>
      </c>
      <c r="BT47" s="210">
        <f t="shared" si="53"/>
        <v>-121.37674418604655</v>
      </c>
      <c r="BU47" s="210">
        <f t="shared" si="53"/>
        <v>-121.37674418604655</v>
      </c>
      <c r="BV47" s="210">
        <f t="shared" si="53"/>
        <v>-121.37674418604655</v>
      </c>
      <c r="BW47" s="210">
        <f t="shared" si="53"/>
        <v>-121.37674418604655</v>
      </c>
      <c r="BX47" s="210">
        <f t="shared" si="53"/>
        <v>-121.37674418604655</v>
      </c>
      <c r="BY47" s="210">
        <f t="shared" si="53"/>
        <v>-121.37674418604655</v>
      </c>
      <c r="BZ47" s="210">
        <f t="shared" si="53"/>
        <v>-121.37674418604655</v>
      </c>
      <c r="CA47" s="210">
        <f t="shared" si="53"/>
        <v>-121.37674418604655</v>
      </c>
      <c r="CB47" s="210">
        <f t="shared" si="53"/>
        <v>-121.37674418604655</v>
      </c>
      <c r="CC47" s="210">
        <f t="shared" si="53"/>
        <v>-121.37674418604655</v>
      </c>
      <c r="CD47" s="210">
        <f t="shared" si="53"/>
        <v>-121.37674418604655</v>
      </c>
      <c r="CE47" s="210">
        <f t="shared" si="53"/>
        <v>-121.37674418604655</v>
      </c>
      <c r="CF47" s="210">
        <f t="shared" si="53"/>
        <v>-121.37674418604655</v>
      </c>
      <c r="CG47" s="210">
        <f t="shared" si="53"/>
        <v>-121.37674418604655</v>
      </c>
      <c r="CH47" s="210">
        <f t="shared" si="53"/>
        <v>-121.37674418604655</v>
      </c>
      <c r="CI47" s="210">
        <f t="shared" si="53"/>
        <v>-121.37674418604655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232.29042357274409</v>
      </c>
      <c r="AE48" s="210">
        <f t="shared" si="54"/>
        <v>232.29042357274409</v>
      </c>
      <c r="AF48" s="210">
        <f t="shared" si="54"/>
        <v>232.29042357274409</v>
      </c>
      <c r="AG48" s="210">
        <f t="shared" si="54"/>
        <v>232.29042357274409</v>
      </c>
      <c r="AH48" s="210">
        <f t="shared" si="54"/>
        <v>232.29042357274409</v>
      </c>
      <c r="AI48" s="210">
        <f t="shared" si="54"/>
        <v>232.29042357274409</v>
      </c>
      <c r="AJ48" s="210">
        <f t="shared" si="54"/>
        <v>232.29042357274409</v>
      </c>
      <c r="AK48" s="210">
        <f t="shared" si="54"/>
        <v>232.29042357274409</v>
      </c>
      <c r="AL48" s="210">
        <f t="shared" ref="AL48:BQ48" si="55">IF(AL$22&lt;=$E$24,IF(AL$22&lt;=$D$24,IF(AL$22&lt;=$C$24,IF(AL$22&lt;=$B$24,$B114,($C31-$B31)/($C$24-$B$24)),($D31-$C31)/($D$24-$C$24)),($E31-$D31)/($E$24-$D$24)),$F114)</f>
        <v>232.29042357274409</v>
      </c>
      <c r="AM48" s="210">
        <f t="shared" si="55"/>
        <v>232.29042357274409</v>
      </c>
      <c r="AN48" s="210">
        <f t="shared" si="55"/>
        <v>232.29042357274409</v>
      </c>
      <c r="AO48" s="210">
        <f t="shared" si="55"/>
        <v>232.29042357274409</v>
      </c>
      <c r="AP48" s="210">
        <f t="shared" si="55"/>
        <v>232.29042357274409</v>
      </c>
      <c r="AQ48" s="210">
        <f t="shared" si="55"/>
        <v>232.29042357274409</v>
      </c>
      <c r="AR48" s="210">
        <f t="shared" si="55"/>
        <v>232.29042357274409</v>
      </c>
      <c r="AS48" s="210">
        <f t="shared" si="55"/>
        <v>232.29042357274409</v>
      </c>
      <c r="AT48" s="210">
        <f t="shared" si="55"/>
        <v>232.29042357274409</v>
      </c>
      <c r="AU48" s="210">
        <f t="shared" si="55"/>
        <v>232.29042357274409</v>
      </c>
      <c r="AV48" s="210">
        <f t="shared" si="55"/>
        <v>232.29042357274409</v>
      </c>
      <c r="AW48" s="210">
        <f t="shared" si="55"/>
        <v>232.29042357274409</v>
      </c>
      <c r="AX48" s="210">
        <f t="shared" si="55"/>
        <v>232.29042357274409</v>
      </c>
      <c r="AY48" s="210">
        <f t="shared" si="55"/>
        <v>232.29042357274409</v>
      </c>
      <c r="AZ48" s="210">
        <f t="shared" si="55"/>
        <v>232.29042357274409</v>
      </c>
      <c r="BA48" s="210">
        <f t="shared" si="55"/>
        <v>232.29042357274409</v>
      </c>
      <c r="BB48" s="210">
        <f t="shared" si="55"/>
        <v>232.29042357274409</v>
      </c>
      <c r="BC48" s="210">
        <f t="shared" si="55"/>
        <v>232.29042357274409</v>
      </c>
      <c r="BD48" s="210">
        <f t="shared" si="55"/>
        <v>232.29042357274409</v>
      </c>
      <c r="BE48" s="210">
        <f t="shared" si="55"/>
        <v>232.29042357274409</v>
      </c>
      <c r="BF48" s="210">
        <f t="shared" si="55"/>
        <v>232.29042357274409</v>
      </c>
      <c r="BG48" s="210">
        <f t="shared" si="55"/>
        <v>232.29042357274409</v>
      </c>
      <c r="BH48" s="210">
        <f t="shared" si="55"/>
        <v>232.29042357274409</v>
      </c>
      <c r="BI48" s="210">
        <f t="shared" si="55"/>
        <v>232.29042357274409</v>
      </c>
      <c r="BJ48" s="210">
        <f t="shared" si="55"/>
        <v>232.29042357274409</v>
      </c>
      <c r="BK48" s="210">
        <f t="shared" si="55"/>
        <v>232.29042357274409</v>
      </c>
      <c r="BL48" s="210">
        <f t="shared" si="55"/>
        <v>232.29042357274409</v>
      </c>
      <c r="BM48" s="210">
        <f t="shared" si="55"/>
        <v>232.29042357274409</v>
      </c>
      <c r="BN48" s="210">
        <f t="shared" si="55"/>
        <v>-720.14863163304653</v>
      </c>
      <c r="BO48" s="210">
        <f t="shared" si="55"/>
        <v>-720.14863163304653</v>
      </c>
      <c r="BP48" s="210">
        <f t="shared" si="55"/>
        <v>-720.14863163304653</v>
      </c>
      <c r="BQ48" s="210">
        <f t="shared" si="55"/>
        <v>-720.14863163304653</v>
      </c>
      <c r="BR48" s="210">
        <f t="shared" ref="BR48:DA48" si="56">IF(BR$22&lt;=$E$24,IF(BR$22&lt;=$D$24,IF(BR$22&lt;=$C$24,IF(BR$22&lt;=$B$24,$B114,($C31-$B31)/($C$24-$B$24)),($D31-$C31)/($D$24-$C$24)),($E31-$D31)/($E$24-$D$24)),$F114)</f>
        <v>-720.14863163304653</v>
      </c>
      <c r="BS48" s="210">
        <f t="shared" si="56"/>
        <v>-720.14863163304653</v>
      </c>
      <c r="BT48" s="210">
        <f t="shared" si="56"/>
        <v>-720.14863163304653</v>
      </c>
      <c r="BU48" s="210">
        <f t="shared" si="56"/>
        <v>-720.14863163304653</v>
      </c>
      <c r="BV48" s="210">
        <f t="shared" si="56"/>
        <v>-720.14863163304653</v>
      </c>
      <c r="BW48" s="210">
        <f t="shared" si="56"/>
        <v>-720.14863163304653</v>
      </c>
      <c r="BX48" s="210">
        <f t="shared" si="56"/>
        <v>-720.14863163304653</v>
      </c>
      <c r="BY48" s="210">
        <f t="shared" si="56"/>
        <v>-720.14863163304653</v>
      </c>
      <c r="BZ48" s="210">
        <f t="shared" si="56"/>
        <v>-720.14863163304653</v>
      </c>
      <c r="CA48" s="210">
        <f t="shared" si="56"/>
        <v>-720.14863163304653</v>
      </c>
      <c r="CB48" s="210">
        <f t="shared" si="56"/>
        <v>-720.14863163304653</v>
      </c>
      <c r="CC48" s="210">
        <f t="shared" si="56"/>
        <v>-720.14863163304653</v>
      </c>
      <c r="CD48" s="210">
        <f t="shared" si="56"/>
        <v>-720.14863163304653</v>
      </c>
      <c r="CE48" s="210">
        <f t="shared" si="56"/>
        <v>-720.14863163304653</v>
      </c>
      <c r="CF48" s="210">
        <f t="shared" si="56"/>
        <v>-720.14863163304653</v>
      </c>
      <c r="CG48" s="210">
        <f t="shared" si="56"/>
        <v>-720.14863163304653</v>
      </c>
      <c r="CH48" s="210">
        <f t="shared" si="56"/>
        <v>-720.14863163304653</v>
      </c>
      <c r="CI48" s="210">
        <f t="shared" si="56"/>
        <v>-720.14863163304653</v>
      </c>
      <c r="CJ48" s="210">
        <f t="shared" si="56"/>
        <v>-64.176795580110507</v>
      </c>
      <c r="CK48" s="210">
        <f t="shared" si="56"/>
        <v>-64.176795580110507</v>
      </c>
      <c r="CL48" s="210">
        <f t="shared" si="56"/>
        <v>-64.176795580110507</v>
      </c>
      <c r="CM48" s="210">
        <f t="shared" si="56"/>
        <v>-64.176795580110507</v>
      </c>
      <c r="CN48" s="210">
        <f t="shared" si="56"/>
        <v>-64.176795580110507</v>
      </c>
      <c r="CO48" s="210">
        <f t="shared" si="56"/>
        <v>-64.176795580110507</v>
      </c>
      <c r="CP48" s="210">
        <f t="shared" si="56"/>
        <v>-64.176795580110507</v>
      </c>
      <c r="CQ48" s="210">
        <f t="shared" si="56"/>
        <v>-64.176795580110507</v>
      </c>
      <c r="CR48" s="210">
        <f t="shared" si="56"/>
        <v>-64.176795580110507</v>
      </c>
      <c r="CS48" s="210">
        <f t="shared" si="56"/>
        <v>-64.176795580110507</v>
      </c>
      <c r="CT48" s="210">
        <f t="shared" si="56"/>
        <v>-64.176795580110507</v>
      </c>
      <c r="CU48" s="210">
        <f t="shared" si="56"/>
        <v>-64.176795580110507</v>
      </c>
      <c r="CV48" s="210">
        <f t="shared" si="56"/>
        <v>-64.176795580110507</v>
      </c>
      <c r="CW48" s="210">
        <f t="shared" si="56"/>
        <v>-64.176795580110507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466.66666666666669</v>
      </c>
      <c r="AE49" s="210">
        <f t="shared" si="57"/>
        <v>466.66666666666669</v>
      </c>
      <c r="AF49" s="210">
        <f t="shared" si="57"/>
        <v>466.66666666666669</v>
      </c>
      <c r="AG49" s="210">
        <f t="shared" si="57"/>
        <v>466.66666666666669</v>
      </c>
      <c r="AH49" s="210">
        <f t="shared" si="57"/>
        <v>466.66666666666669</v>
      </c>
      <c r="AI49" s="210">
        <f t="shared" si="57"/>
        <v>466.66666666666669</v>
      </c>
      <c r="AJ49" s="210">
        <f t="shared" si="57"/>
        <v>466.66666666666669</v>
      </c>
      <c r="AK49" s="210">
        <f t="shared" si="57"/>
        <v>466.66666666666669</v>
      </c>
      <c r="AL49" s="210">
        <f t="shared" ref="AL49:BQ49" si="58">IF(AL$22&lt;=$E$24,IF(AL$22&lt;=$D$24,IF(AL$22&lt;=$C$24,IF(AL$22&lt;=$B$24,$B115,($C32-$B32)/($C$24-$B$24)),($D32-$C32)/($D$24-$C$24)),($E32-$D32)/($E$24-$D$24)),$F115)</f>
        <v>466.66666666666669</v>
      </c>
      <c r="AM49" s="210">
        <f t="shared" si="58"/>
        <v>466.66666666666669</v>
      </c>
      <c r="AN49" s="210">
        <f t="shared" si="58"/>
        <v>466.66666666666669</v>
      </c>
      <c r="AO49" s="210">
        <f t="shared" si="58"/>
        <v>466.66666666666669</v>
      </c>
      <c r="AP49" s="210">
        <f t="shared" si="58"/>
        <v>466.66666666666669</v>
      </c>
      <c r="AQ49" s="210">
        <f t="shared" si="58"/>
        <v>466.66666666666669</v>
      </c>
      <c r="AR49" s="210">
        <f t="shared" si="58"/>
        <v>466.66666666666669</v>
      </c>
      <c r="AS49" s="210">
        <f t="shared" si="58"/>
        <v>466.66666666666669</v>
      </c>
      <c r="AT49" s="210">
        <f t="shared" si="58"/>
        <v>466.66666666666669</v>
      </c>
      <c r="AU49" s="210">
        <f t="shared" si="58"/>
        <v>466.66666666666669</v>
      </c>
      <c r="AV49" s="210">
        <f t="shared" si="58"/>
        <v>466.66666666666669</v>
      </c>
      <c r="AW49" s="210">
        <f t="shared" si="58"/>
        <v>466.66666666666669</v>
      </c>
      <c r="AX49" s="210">
        <f t="shared" si="58"/>
        <v>466.66666666666669</v>
      </c>
      <c r="AY49" s="210">
        <f t="shared" si="58"/>
        <v>466.66666666666669</v>
      </c>
      <c r="AZ49" s="210">
        <f t="shared" si="58"/>
        <v>466.66666666666669</v>
      </c>
      <c r="BA49" s="210">
        <f t="shared" si="58"/>
        <v>466.66666666666669</v>
      </c>
      <c r="BB49" s="210">
        <f t="shared" si="58"/>
        <v>466.66666666666669</v>
      </c>
      <c r="BC49" s="210">
        <f t="shared" si="58"/>
        <v>466.66666666666669</v>
      </c>
      <c r="BD49" s="210">
        <f t="shared" si="58"/>
        <v>466.66666666666669</v>
      </c>
      <c r="BE49" s="210">
        <f t="shared" si="58"/>
        <v>466.66666666666669</v>
      </c>
      <c r="BF49" s="210">
        <f t="shared" si="58"/>
        <v>466.66666666666669</v>
      </c>
      <c r="BG49" s="210">
        <f t="shared" si="58"/>
        <v>466.66666666666669</v>
      </c>
      <c r="BH49" s="210">
        <f t="shared" si="58"/>
        <v>466.66666666666669</v>
      </c>
      <c r="BI49" s="210">
        <f t="shared" si="58"/>
        <v>466.66666666666669</v>
      </c>
      <c r="BJ49" s="210">
        <f t="shared" si="58"/>
        <v>466.66666666666669</v>
      </c>
      <c r="BK49" s="210">
        <f t="shared" si="58"/>
        <v>466.66666666666669</v>
      </c>
      <c r="BL49" s="210">
        <f t="shared" si="58"/>
        <v>466.66666666666669</v>
      </c>
      <c r="BM49" s="210">
        <f t="shared" si="58"/>
        <v>466.66666666666669</v>
      </c>
      <c r="BN49" s="210">
        <f t="shared" si="58"/>
        <v>2656.7441860465115</v>
      </c>
      <c r="BO49" s="210">
        <f t="shared" si="58"/>
        <v>2656.7441860465115</v>
      </c>
      <c r="BP49" s="210">
        <f t="shared" si="58"/>
        <v>2656.7441860465115</v>
      </c>
      <c r="BQ49" s="210">
        <f t="shared" si="58"/>
        <v>2656.7441860465115</v>
      </c>
      <c r="BR49" s="210">
        <f t="shared" ref="BR49:DA49" si="59">IF(BR$22&lt;=$E$24,IF(BR$22&lt;=$D$24,IF(BR$22&lt;=$C$24,IF(BR$22&lt;=$B$24,$B115,($C32-$B32)/($C$24-$B$24)),($D32-$C32)/($D$24-$C$24)),($E32-$D32)/($E$24-$D$24)),$F115)</f>
        <v>2656.7441860465115</v>
      </c>
      <c r="BS49" s="210">
        <f t="shared" si="59"/>
        <v>2656.7441860465115</v>
      </c>
      <c r="BT49" s="210">
        <f t="shared" si="59"/>
        <v>2656.7441860465115</v>
      </c>
      <c r="BU49" s="210">
        <f t="shared" si="59"/>
        <v>2656.7441860465115</v>
      </c>
      <c r="BV49" s="210">
        <f t="shared" si="59"/>
        <v>2656.7441860465115</v>
      </c>
      <c r="BW49" s="210">
        <f t="shared" si="59"/>
        <v>2656.7441860465115</v>
      </c>
      <c r="BX49" s="210">
        <f t="shared" si="59"/>
        <v>2656.7441860465115</v>
      </c>
      <c r="BY49" s="210">
        <f t="shared" si="59"/>
        <v>2656.7441860465115</v>
      </c>
      <c r="BZ49" s="210">
        <f t="shared" si="59"/>
        <v>2656.7441860465115</v>
      </c>
      <c r="CA49" s="210">
        <f t="shared" si="59"/>
        <v>2656.7441860465115</v>
      </c>
      <c r="CB49" s="210">
        <f t="shared" si="59"/>
        <v>2656.7441860465115</v>
      </c>
      <c r="CC49" s="210">
        <f t="shared" si="59"/>
        <v>2656.7441860465115</v>
      </c>
      <c r="CD49" s="210">
        <f t="shared" si="59"/>
        <v>2656.7441860465115</v>
      </c>
      <c r="CE49" s="210">
        <f t="shared" si="59"/>
        <v>2656.7441860465115</v>
      </c>
      <c r="CF49" s="210">
        <f t="shared" si="59"/>
        <v>2656.7441860465115</v>
      </c>
      <c r="CG49" s="210">
        <f t="shared" si="59"/>
        <v>2656.7441860465115</v>
      </c>
      <c r="CH49" s="210">
        <f t="shared" si="59"/>
        <v>2656.7441860465115</v>
      </c>
      <c r="CI49" s="210">
        <f t="shared" si="59"/>
        <v>2656.7441860465115</v>
      </c>
      <c r="CJ49" s="210">
        <f t="shared" si="59"/>
        <v>8160</v>
      </c>
      <c r="CK49" s="210">
        <f t="shared" si="59"/>
        <v>8160</v>
      </c>
      <c r="CL49" s="210">
        <f t="shared" si="59"/>
        <v>8160</v>
      </c>
      <c r="CM49" s="210">
        <f t="shared" si="59"/>
        <v>8160</v>
      </c>
      <c r="CN49" s="210">
        <f t="shared" si="59"/>
        <v>8160</v>
      </c>
      <c r="CO49" s="210">
        <f t="shared" si="59"/>
        <v>8160</v>
      </c>
      <c r="CP49" s="210">
        <f t="shared" si="59"/>
        <v>8160</v>
      </c>
      <c r="CQ49" s="210">
        <f t="shared" si="59"/>
        <v>8160</v>
      </c>
      <c r="CR49" s="210">
        <f t="shared" si="59"/>
        <v>8160</v>
      </c>
      <c r="CS49" s="210">
        <f t="shared" si="59"/>
        <v>8160</v>
      </c>
      <c r="CT49" s="210">
        <f t="shared" si="59"/>
        <v>8160</v>
      </c>
      <c r="CU49" s="210">
        <f t="shared" si="59"/>
        <v>8160</v>
      </c>
      <c r="CV49" s="210">
        <f t="shared" si="59"/>
        <v>8160</v>
      </c>
      <c r="CW49" s="210">
        <f t="shared" si="59"/>
        <v>8160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56.816666666666684</v>
      </c>
      <c r="AE50" s="210">
        <f t="shared" si="60"/>
        <v>56.816666666666684</v>
      </c>
      <c r="AF50" s="210">
        <f t="shared" si="60"/>
        <v>56.816666666666684</v>
      </c>
      <c r="AG50" s="210">
        <f t="shared" si="60"/>
        <v>56.816666666666684</v>
      </c>
      <c r="AH50" s="210">
        <f t="shared" si="60"/>
        <v>56.816666666666684</v>
      </c>
      <c r="AI50" s="210">
        <f t="shared" si="60"/>
        <v>56.816666666666684</v>
      </c>
      <c r="AJ50" s="210">
        <f t="shared" si="60"/>
        <v>56.816666666666684</v>
      </c>
      <c r="AK50" s="210">
        <f t="shared" si="60"/>
        <v>56.816666666666684</v>
      </c>
      <c r="AL50" s="210">
        <f t="shared" ref="AL50:BQ50" si="61">IF(AL$22&lt;=$E$24,IF(AL$22&lt;=$D$24,IF(AL$22&lt;=$C$24,IF(AL$22&lt;=$B$24,$B116,($C33-$B33)/($C$24-$B$24)),($D33-$C33)/($D$24-$C$24)),($E33-$D33)/($E$24-$D$24)),$F116)</f>
        <v>56.816666666666684</v>
      </c>
      <c r="AM50" s="210">
        <f t="shared" si="61"/>
        <v>56.816666666666684</v>
      </c>
      <c r="AN50" s="210">
        <f t="shared" si="61"/>
        <v>56.816666666666684</v>
      </c>
      <c r="AO50" s="210">
        <f t="shared" si="61"/>
        <v>56.816666666666684</v>
      </c>
      <c r="AP50" s="210">
        <f t="shared" si="61"/>
        <v>56.816666666666684</v>
      </c>
      <c r="AQ50" s="210">
        <f t="shared" si="61"/>
        <v>56.816666666666684</v>
      </c>
      <c r="AR50" s="210">
        <f t="shared" si="61"/>
        <v>56.816666666666684</v>
      </c>
      <c r="AS50" s="210">
        <f t="shared" si="61"/>
        <v>56.816666666666684</v>
      </c>
      <c r="AT50" s="210">
        <f t="shared" si="61"/>
        <v>56.816666666666684</v>
      </c>
      <c r="AU50" s="210">
        <f t="shared" si="61"/>
        <v>56.816666666666684</v>
      </c>
      <c r="AV50" s="210">
        <f t="shared" si="61"/>
        <v>56.816666666666684</v>
      </c>
      <c r="AW50" s="210">
        <f t="shared" si="61"/>
        <v>56.816666666666684</v>
      </c>
      <c r="AX50" s="210">
        <f t="shared" si="61"/>
        <v>56.816666666666684</v>
      </c>
      <c r="AY50" s="210">
        <f t="shared" si="61"/>
        <v>56.816666666666684</v>
      </c>
      <c r="AZ50" s="210">
        <f t="shared" si="61"/>
        <v>56.816666666666684</v>
      </c>
      <c r="BA50" s="210">
        <f t="shared" si="61"/>
        <v>56.816666666666684</v>
      </c>
      <c r="BB50" s="210">
        <f t="shared" si="61"/>
        <v>56.816666666666684</v>
      </c>
      <c r="BC50" s="210">
        <f t="shared" si="61"/>
        <v>56.816666666666684</v>
      </c>
      <c r="BD50" s="210">
        <f t="shared" si="61"/>
        <v>56.816666666666684</v>
      </c>
      <c r="BE50" s="210">
        <f t="shared" si="61"/>
        <v>56.816666666666684</v>
      </c>
      <c r="BF50" s="210">
        <f t="shared" si="61"/>
        <v>56.816666666666684</v>
      </c>
      <c r="BG50" s="210">
        <f t="shared" si="61"/>
        <v>56.816666666666684</v>
      </c>
      <c r="BH50" s="210">
        <f t="shared" si="61"/>
        <v>56.816666666666684</v>
      </c>
      <c r="BI50" s="210">
        <f t="shared" si="61"/>
        <v>56.816666666666684</v>
      </c>
      <c r="BJ50" s="210">
        <f t="shared" si="61"/>
        <v>56.816666666666684</v>
      </c>
      <c r="BK50" s="210">
        <f t="shared" si="61"/>
        <v>56.816666666666684</v>
      </c>
      <c r="BL50" s="210">
        <f t="shared" si="61"/>
        <v>56.816666666666684</v>
      </c>
      <c r="BM50" s="210">
        <f t="shared" si="61"/>
        <v>56.816666666666684</v>
      </c>
      <c r="BN50" s="210">
        <f t="shared" si="61"/>
        <v>21.879069767441845</v>
      </c>
      <c r="BO50" s="210">
        <f t="shared" si="61"/>
        <v>21.879069767441845</v>
      </c>
      <c r="BP50" s="210">
        <f t="shared" si="61"/>
        <v>21.879069767441845</v>
      </c>
      <c r="BQ50" s="210">
        <f t="shared" si="61"/>
        <v>21.879069767441845</v>
      </c>
      <c r="BR50" s="210">
        <f t="shared" ref="BR50:DA50" si="62">IF(BR$22&lt;=$E$24,IF(BR$22&lt;=$D$24,IF(BR$22&lt;=$C$24,IF(BR$22&lt;=$B$24,$B116,($C33-$B33)/($C$24-$B$24)),($D33-$C33)/($D$24-$C$24)),($E33-$D33)/($E$24-$D$24)),$F116)</f>
        <v>21.879069767441845</v>
      </c>
      <c r="BS50" s="210">
        <f t="shared" si="62"/>
        <v>21.879069767441845</v>
      </c>
      <c r="BT50" s="210">
        <f t="shared" si="62"/>
        <v>21.879069767441845</v>
      </c>
      <c r="BU50" s="210">
        <f t="shared" si="62"/>
        <v>21.879069767441845</v>
      </c>
      <c r="BV50" s="210">
        <f t="shared" si="62"/>
        <v>21.879069767441845</v>
      </c>
      <c r="BW50" s="210">
        <f t="shared" si="62"/>
        <v>21.879069767441845</v>
      </c>
      <c r="BX50" s="210">
        <f t="shared" si="62"/>
        <v>21.879069767441845</v>
      </c>
      <c r="BY50" s="210">
        <f t="shared" si="62"/>
        <v>21.879069767441845</v>
      </c>
      <c r="BZ50" s="210">
        <f t="shared" si="62"/>
        <v>21.879069767441845</v>
      </c>
      <c r="CA50" s="210">
        <f t="shared" si="62"/>
        <v>21.879069767441845</v>
      </c>
      <c r="CB50" s="210">
        <f t="shared" si="62"/>
        <v>21.879069767441845</v>
      </c>
      <c r="CC50" s="210">
        <f t="shared" si="62"/>
        <v>21.879069767441845</v>
      </c>
      <c r="CD50" s="210">
        <f t="shared" si="62"/>
        <v>21.879069767441845</v>
      </c>
      <c r="CE50" s="210">
        <f t="shared" si="62"/>
        <v>21.879069767441845</v>
      </c>
      <c r="CF50" s="210">
        <f t="shared" si="62"/>
        <v>21.879069767441845</v>
      </c>
      <c r="CG50" s="210">
        <f t="shared" si="62"/>
        <v>21.879069767441845</v>
      </c>
      <c r="CH50" s="210">
        <f t="shared" si="62"/>
        <v>21.879069767441845</v>
      </c>
      <c r="CI50" s="210">
        <f t="shared" si="62"/>
        <v>21.879069767441845</v>
      </c>
      <c r="CJ50" s="210">
        <f t="shared" si="62"/>
        <v>-547.20000000000005</v>
      </c>
      <c r="CK50" s="210">
        <f t="shared" si="62"/>
        <v>-547.20000000000005</v>
      </c>
      <c r="CL50" s="210">
        <f t="shared" si="62"/>
        <v>-547.20000000000005</v>
      </c>
      <c r="CM50" s="210">
        <f t="shared" si="62"/>
        <v>-547.20000000000005</v>
      </c>
      <c r="CN50" s="210">
        <f t="shared" si="62"/>
        <v>-547.20000000000005</v>
      </c>
      <c r="CO50" s="210">
        <f t="shared" si="62"/>
        <v>-547.20000000000005</v>
      </c>
      <c r="CP50" s="210">
        <f t="shared" si="62"/>
        <v>-547.20000000000005</v>
      </c>
      <c r="CQ50" s="210">
        <f t="shared" si="62"/>
        <v>-547.20000000000005</v>
      </c>
      <c r="CR50" s="210">
        <f t="shared" si="62"/>
        <v>-547.20000000000005</v>
      </c>
      <c r="CS50" s="210">
        <f t="shared" si="62"/>
        <v>-547.20000000000005</v>
      </c>
      <c r="CT50" s="210">
        <f t="shared" si="62"/>
        <v>-547.20000000000005</v>
      </c>
      <c r="CU50" s="210">
        <f t="shared" si="62"/>
        <v>-547.20000000000005</v>
      </c>
      <c r="CV50" s="210">
        <f t="shared" si="62"/>
        <v>-547.20000000000005</v>
      </c>
      <c r="CW50" s="210">
        <f t="shared" si="62"/>
        <v>-547.20000000000005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29.866666666666674</v>
      </c>
      <c r="AE51" s="210">
        <f t="shared" si="63"/>
        <v>29.866666666666674</v>
      </c>
      <c r="AF51" s="210">
        <f t="shared" si="63"/>
        <v>29.866666666666674</v>
      </c>
      <c r="AG51" s="210">
        <f t="shared" si="63"/>
        <v>29.866666666666674</v>
      </c>
      <c r="AH51" s="210">
        <f t="shared" si="63"/>
        <v>29.866666666666674</v>
      </c>
      <c r="AI51" s="210">
        <f t="shared" si="63"/>
        <v>29.866666666666674</v>
      </c>
      <c r="AJ51" s="210">
        <f t="shared" si="63"/>
        <v>29.866666666666674</v>
      </c>
      <c r="AK51" s="210">
        <f t="shared" si="63"/>
        <v>29.866666666666674</v>
      </c>
      <c r="AL51" s="210">
        <f t="shared" ref="AL51:BQ51" si="64">IF(AL$22&lt;=$E$24,IF(AL$22&lt;=$D$24,IF(AL$22&lt;=$C$24,IF(AL$22&lt;=$B$24,$B117,($C34-$B34)/($C$24-$B$24)),($D34-$C34)/($D$24-$C$24)),($E34-$D34)/($E$24-$D$24)),$F117)</f>
        <v>29.866666666666674</v>
      </c>
      <c r="AM51" s="210">
        <f t="shared" si="64"/>
        <v>29.866666666666674</v>
      </c>
      <c r="AN51" s="210">
        <f t="shared" si="64"/>
        <v>29.866666666666674</v>
      </c>
      <c r="AO51" s="210">
        <f t="shared" si="64"/>
        <v>29.866666666666674</v>
      </c>
      <c r="AP51" s="210">
        <f t="shared" si="64"/>
        <v>29.866666666666674</v>
      </c>
      <c r="AQ51" s="210">
        <f t="shared" si="64"/>
        <v>29.866666666666674</v>
      </c>
      <c r="AR51" s="210">
        <f t="shared" si="64"/>
        <v>29.866666666666674</v>
      </c>
      <c r="AS51" s="210">
        <f t="shared" si="64"/>
        <v>29.866666666666674</v>
      </c>
      <c r="AT51" s="210">
        <f t="shared" si="64"/>
        <v>29.866666666666674</v>
      </c>
      <c r="AU51" s="210">
        <f t="shared" si="64"/>
        <v>29.866666666666674</v>
      </c>
      <c r="AV51" s="210">
        <f t="shared" si="64"/>
        <v>29.866666666666674</v>
      </c>
      <c r="AW51" s="210">
        <f t="shared" si="64"/>
        <v>29.866666666666674</v>
      </c>
      <c r="AX51" s="210">
        <f t="shared" si="64"/>
        <v>29.866666666666674</v>
      </c>
      <c r="AY51" s="210">
        <f t="shared" si="64"/>
        <v>29.866666666666674</v>
      </c>
      <c r="AZ51" s="210">
        <f t="shared" si="64"/>
        <v>29.866666666666674</v>
      </c>
      <c r="BA51" s="210">
        <f t="shared" si="64"/>
        <v>29.866666666666674</v>
      </c>
      <c r="BB51" s="210">
        <f t="shared" si="64"/>
        <v>29.866666666666674</v>
      </c>
      <c r="BC51" s="210">
        <f t="shared" si="64"/>
        <v>29.866666666666674</v>
      </c>
      <c r="BD51" s="210">
        <f t="shared" si="64"/>
        <v>29.866666666666674</v>
      </c>
      <c r="BE51" s="210">
        <f t="shared" si="64"/>
        <v>29.866666666666674</v>
      </c>
      <c r="BF51" s="210">
        <f t="shared" si="64"/>
        <v>29.866666666666674</v>
      </c>
      <c r="BG51" s="210">
        <f t="shared" si="64"/>
        <v>29.866666666666674</v>
      </c>
      <c r="BH51" s="210">
        <f t="shared" si="64"/>
        <v>29.866666666666674</v>
      </c>
      <c r="BI51" s="210">
        <f t="shared" si="64"/>
        <v>29.866666666666674</v>
      </c>
      <c r="BJ51" s="210">
        <f t="shared" si="64"/>
        <v>29.866666666666674</v>
      </c>
      <c r="BK51" s="210">
        <f t="shared" si="64"/>
        <v>29.866666666666674</v>
      </c>
      <c r="BL51" s="210">
        <f t="shared" si="64"/>
        <v>29.866666666666674</v>
      </c>
      <c r="BM51" s="210">
        <f t="shared" si="64"/>
        <v>29.866666666666674</v>
      </c>
      <c r="BN51" s="210">
        <f t="shared" si="64"/>
        <v>-50.009302325581409</v>
      </c>
      <c r="BO51" s="210">
        <f t="shared" si="64"/>
        <v>-50.009302325581409</v>
      </c>
      <c r="BP51" s="210">
        <f t="shared" si="64"/>
        <v>-50.009302325581409</v>
      </c>
      <c r="BQ51" s="210">
        <f t="shared" si="64"/>
        <v>-50.009302325581409</v>
      </c>
      <c r="BR51" s="210">
        <f t="shared" ref="BR51:DA51" si="65">IF(BR$22&lt;=$E$24,IF(BR$22&lt;=$D$24,IF(BR$22&lt;=$C$24,IF(BR$22&lt;=$B$24,$B117,($C34-$B34)/($C$24-$B$24)),($D34-$C34)/($D$24-$C$24)),($E34-$D34)/($E$24-$D$24)),$F117)</f>
        <v>-50.009302325581409</v>
      </c>
      <c r="BS51" s="210">
        <f t="shared" si="65"/>
        <v>-50.009302325581409</v>
      </c>
      <c r="BT51" s="210">
        <f t="shared" si="65"/>
        <v>-50.009302325581409</v>
      </c>
      <c r="BU51" s="210">
        <f t="shared" si="65"/>
        <v>-50.009302325581409</v>
      </c>
      <c r="BV51" s="210">
        <f t="shared" si="65"/>
        <v>-50.009302325581409</v>
      </c>
      <c r="BW51" s="210">
        <f t="shared" si="65"/>
        <v>-50.009302325581409</v>
      </c>
      <c r="BX51" s="210">
        <f t="shared" si="65"/>
        <v>-50.009302325581409</v>
      </c>
      <c r="BY51" s="210">
        <f t="shared" si="65"/>
        <v>-50.009302325581409</v>
      </c>
      <c r="BZ51" s="210">
        <f t="shared" si="65"/>
        <v>-50.009302325581409</v>
      </c>
      <c r="CA51" s="210">
        <f t="shared" si="65"/>
        <v>-50.009302325581409</v>
      </c>
      <c r="CB51" s="210">
        <f t="shared" si="65"/>
        <v>-50.009302325581409</v>
      </c>
      <c r="CC51" s="210">
        <f t="shared" si="65"/>
        <v>-50.009302325581409</v>
      </c>
      <c r="CD51" s="210">
        <f t="shared" si="65"/>
        <v>-50.009302325581409</v>
      </c>
      <c r="CE51" s="210">
        <f t="shared" si="65"/>
        <v>-50.009302325581409</v>
      </c>
      <c r="CF51" s="210">
        <f t="shared" si="65"/>
        <v>-50.009302325581409</v>
      </c>
      <c r="CG51" s="210">
        <f t="shared" si="65"/>
        <v>-50.009302325581409</v>
      </c>
      <c r="CH51" s="210">
        <f t="shared" si="65"/>
        <v>-50.009302325581409</v>
      </c>
      <c r="CI51" s="210">
        <f t="shared" si="65"/>
        <v>-50.009302325581409</v>
      </c>
      <c r="CJ51" s="210">
        <f t="shared" si="65"/>
        <v>13440</v>
      </c>
      <c r="CK51" s="210">
        <f t="shared" si="65"/>
        <v>13440</v>
      </c>
      <c r="CL51" s="210">
        <f t="shared" si="65"/>
        <v>13440</v>
      </c>
      <c r="CM51" s="210">
        <f t="shared" si="65"/>
        <v>13440</v>
      </c>
      <c r="CN51" s="210">
        <f t="shared" si="65"/>
        <v>13440</v>
      </c>
      <c r="CO51" s="210">
        <f t="shared" si="65"/>
        <v>13440</v>
      </c>
      <c r="CP51" s="210">
        <f t="shared" si="65"/>
        <v>13440</v>
      </c>
      <c r="CQ51" s="210">
        <f t="shared" si="65"/>
        <v>13440</v>
      </c>
      <c r="CR51" s="210">
        <f t="shared" si="65"/>
        <v>13440</v>
      </c>
      <c r="CS51" s="210">
        <f t="shared" si="65"/>
        <v>13440</v>
      </c>
      <c r="CT51" s="210">
        <f t="shared" si="65"/>
        <v>13440</v>
      </c>
      <c r="CU51" s="210">
        <f t="shared" si="65"/>
        <v>13440</v>
      </c>
      <c r="CV51" s="210">
        <f t="shared" si="65"/>
        <v>13440</v>
      </c>
      <c r="CW51" s="210">
        <f t="shared" si="65"/>
        <v>13440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13.315920195774853</v>
      </c>
      <c r="AE52" s="210">
        <f t="shared" si="66"/>
        <v>13.315920195774853</v>
      </c>
      <c r="AF52" s="210">
        <f t="shared" si="66"/>
        <v>13.315920195774853</v>
      </c>
      <c r="AG52" s="210">
        <f t="shared" si="66"/>
        <v>13.315920195774853</v>
      </c>
      <c r="AH52" s="210">
        <f t="shared" si="66"/>
        <v>13.315920195774853</v>
      </c>
      <c r="AI52" s="210">
        <f t="shared" si="66"/>
        <v>13.315920195774853</v>
      </c>
      <c r="AJ52" s="210">
        <f t="shared" si="66"/>
        <v>13.315920195774853</v>
      </c>
      <c r="AK52" s="210">
        <f t="shared" si="66"/>
        <v>13.315920195774853</v>
      </c>
      <c r="AL52" s="210">
        <f t="shared" ref="AL52:BQ52" si="67">IF(AL$22&lt;=$E$24,IF(AL$22&lt;=$D$24,IF(AL$22&lt;=$C$24,IF(AL$22&lt;=$B$24,$B118,($C35-$B35)/($C$24-$B$24)),($D35-$C35)/($D$24-$C$24)),($E35-$D35)/($E$24-$D$24)),$F118)</f>
        <v>13.315920195774853</v>
      </c>
      <c r="AM52" s="210">
        <f t="shared" si="67"/>
        <v>13.315920195774853</v>
      </c>
      <c r="AN52" s="210">
        <f t="shared" si="67"/>
        <v>13.315920195774853</v>
      </c>
      <c r="AO52" s="210">
        <f t="shared" si="67"/>
        <v>13.315920195774853</v>
      </c>
      <c r="AP52" s="210">
        <f t="shared" si="67"/>
        <v>13.315920195774853</v>
      </c>
      <c r="AQ52" s="210">
        <f t="shared" si="67"/>
        <v>13.315920195774853</v>
      </c>
      <c r="AR52" s="210">
        <f t="shared" si="67"/>
        <v>13.315920195774853</v>
      </c>
      <c r="AS52" s="210">
        <f t="shared" si="67"/>
        <v>13.315920195774853</v>
      </c>
      <c r="AT52" s="210">
        <f t="shared" si="67"/>
        <v>13.315920195774853</v>
      </c>
      <c r="AU52" s="210">
        <f t="shared" si="67"/>
        <v>13.315920195774853</v>
      </c>
      <c r="AV52" s="210">
        <f t="shared" si="67"/>
        <v>13.315920195774853</v>
      </c>
      <c r="AW52" s="210">
        <f t="shared" si="67"/>
        <v>13.315920195774853</v>
      </c>
      <c r="AX52" s="210">
        <f t="shared" si="67"/>
        <v>13.315920195774853</v>
      </c>
      <c r="AY52" s="210">
        <f t="shared" si="67"/>
        <v>13.315920195774853</v>
      </c>
      <c r="AZ52" s="210">
        <f t="shared" si="67"/>
        <v>13.315920195774853</v>
      </c>
      <c r="BA52" s="210">
        <f t="shared" si="67"/>
        <v>13.315920195774853</v>
      </c>
      <c r="BB52" s="210">
        <f t="shared" si="67"/>
        <v>13.315920195774853</v>
      </c>
      <c r="BC52" s="210">
        <f t="shared" si="67"/>
        <v>13.315920195774853</v>
      </c>
      <c r="BD52" s="210">
        <f t="shared" si="67"/>
        <v>13.315920195774853</v>
      </c>
      <c r="BE52" s="210">
        <f t="shared" si="67"/>
        <v>13.315920195774853</v>
      </c>
      <c r="BF52" s="210">
        <f t="shared" si="67"/>
        <v>13.315920195774853</v>
      </c>
      <c r="BG52" s="210">
        <f t="shared" si="67"/>
        <v>13.315920195774853</v>
      </c>
      <c r="BH52" s="210">
        <f t="shared" si="67"/>
        <v>13.315920195774853</v>
      </c>
      <c r="BI52" s="210">
        <f t="shared" si="67"/>
        <v>13.315920195774853</v>
      </c>
      <c r="BJ52" s="210">
        <f t="shared" si="67"/>
        <v>13.315920195774853</v>
      </c>
      <c r="BK52" s="210">
        <f t="shared" si="67"/>
        <v>13.315920195774853</v>
      </c>
      <c r="BL52" s="210">
        <f t="shared" si="67"/>
        <v>13.315920195774853</v>
      </c>
      <c r="BM52" s="210">
        <f t="shared" si="67"/>
        <v>13.315920195774853</v>
      </c>
      <c r="BN52" s="210">
        <f t="shared" si="67"/>
        <v>-26.285426184162645</v>
      </c>
      <c r="BO52" s="210">
        <f t="shared" si="67"/>
        <v>-26.285426184162645</v>
      </c>
      <c r="BP52" s="210">
        <f t="shared" si="67"/>
        <v>-26.285426184162645</v>
      </c>
      <c r="BQ52" s="210">
        <f t="shared" si="67"/>
        <v>-26.285426184162645</v>
      </c>
      <c r="BR52" s="210">
        <f t="shared" ref="BR52:DA52" si="68">IF(BR$22&lt;=$E$24,IF(BR$22&lt;=$D$24,IF(BR$22&lt;=$C$24,IF(BR$22&lt;=$B$24,$B118,($C35-$B35)/($C$24-$B$24)),($D35-$C35)/($D$24-$C$24)),($E35-$D35)/($E$24-$D$24)),$F118)</f>
        <v>-26.285426184162645</v>
      </c>
      <c r="BS52" s="210">
        <f t="shared" si="68"/>
        <v>-26.285426184162645</v>
      </c>
      <c r="BT52" s="210">
        <f t="shared" si="68"/>
        <v>-26.285426184162645</v>
      </c>
      <c r="BU52" s="210">
        <f t="shared" si="68"/>
        <v>-26.285426184162645</v>
      </c>
      <c r="BV52" s="210">
        <f t="shared" si="68"/>
        <v>-26.285426184162645</v>
      </c>
      <c r="BW52" s="210">
        <f t="shared" si="68"/>
        <v>-26.285426184162645</v>
      </c>
      <c r="BX52" s="210">
        <f t="shared" si="68"/>
        <v>-26.285426184162645</v>
      </c>
      <c r="BY52" s="210">
        <f t="shared" si="68"/>
        <v>-26.285426184162645</v>
      </c>
      <c r="BZ52" s="210">
        <f t="shared" si="68"/>
        <v>-26.285426184162645</v>
      </c>
      <c r="CA52" s="210">
        <f t="shared" si="68"/>
        <v>-26.285426184162645</v>
      </c>
      <c r="CB52" s="210">
        <f t="shared" si="68"/>
        <v>-26.285426184162645</v>
      </c>
      <c r="CC52" s="210">
        <f t="shared" si="68"/>
        <v>-26.285426184162645</v>
      </c>
      <c r="CD52" s="210">
        <f t="shared" si="68"/>
        <v>-26.285426184162645</v>
      </c>
      <c r="CE52" s="210">
        <f t="shared" si="68"/>
        <v>-26.285426184162645</v>
      </c>
      <c r="CF52" s="210">
        <f t="shared" si="68"/>
        <v>-26.285426184162645</v>
      </c>
      <c r="CG52" s="210">
        <f t="shared" si="68"/>
        <v>-26.285426184162645</v>
      </c>
      <c r="CH52" s="210">
        <f t="shared" si="68"/>
        <v>-26.285426184162645</v>
      </c>
      <c r="CI52" s="210">
        <f t="shared" si="68"/>
        <v>-26.285426184162645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35.456060606060618</v>
      </c>
      <c r="AE53" s="210">
        <f t="shared" si="69"/>
        <v>35.456060606060618</v>
      </c>
      <c r="AF53" s="210">
        <f t="shared" si="69"/>
        <v>35.456060606060618</v>
      </c>
      <c r="AG53" s="210">
        <f t="shared" si="69"/>
        <v>35.456060606060618</v>
      </c>
      <c r="AH53" s="210">
        <f t="shared" si="69"/>
        <v>35.456060606060618</v>
      </c>
      <c r="AI53" s="210">
        <f t="shared" si="69"/>
        <v>35.456060606060618</v>
      </c>
      <c r="AJ53" s="210">
        <f t="shared" si="69"/>
        <v>35.456060606060618</v>
      </c>
      <c r="AK53" s="210">
        <f t="shared" si="69"/>
        <v>35.456060606060618</v>
      </c>
      <c r="AL53" s="210">
        <f t="shared" ref="AL53:BQ53" si="70">IF(AL$22&lt;=$E$24,IF(AL$22&lt;=$D$24,IF(AL$22&lt;=$C$24,IF(AL$22&lt;=$B$24,$B119,($C36-$B36)/($C$24-$B$24)),($D36-$C36)/($D$24-$C$24)),($E36-$D36)/($E$24-$D$24)),$F119)</f>
        <v>35.456060606060618</v>
      </c>
      <c r="AM53" s="210">
        <f t="shared" si="70"/>
        <v>35.456060606060618</v>
      </c>
      <c r="AN53" s="210">
        <f t="shared" si="70"/>
        <v>35.456060606060618</v>
      </c>
      <c r="AO53" s="210">
        <f t="shared" si="70"/>
        <v>35.456060606060618</v>
      </c>
      <c r="AP53" s="210">
        <f t="shared" si="70"/>
        <v>35.456060606060618</v>
      </c>
      <c r="AQ53" s="210">
        <f t="shared" si="70"/>
        <v>35.456060606060618</v>
      </c>
      <c r="AR53" s="210">
        <f t="shared" si="70"/>
        <v>35.456060606060618</v>
      </c>
      <c r="AS53" s="210">
        <f t="shared" si="70"/>
        <v>35.456060606060618</v>
      </c>
      <c r="AT53" s="210">
        <f t="shared" si="70"/>
        <v>35.456060606060618</v>
      </c>
      <c r="AU53" s="210">
        <f t="shared" si="70"/>
        <v>35.456060606060618</v>
      </c>
      <c r="AV53" s="210">
        <f t="shared" si="70"/>
        <v>35.456060606060618</v>
      </c>
      <c r="AW53" s="210">
        <f t="shared" si="70"/>
        <v>35.456060606060618</v>
      </c>
      <c r="AX53" s="210">
        <f t="shared" si="70"/>
        <v>35.456060606060618</v>
      </c>
      <c r="AY53" s="210">
        <f t="shared" si="70"/>
        <v>35.456060606060618</v>
      </c>
      <c r="AZ53" s="210">
        <f t="shared" si="70"/>
        <v>35.456060606060618</v>
      </c>
      <c r="BA53" s="210">
        <f t="shared" si="70"/>
        <v>35.456060606060618</v>
      </c>
      <c r="BB53" s="210">
        <f t="shared" si="70"/>
        <v>35.456060606060618</v>
      </c>
      <c r="BC53" s="210">
        <f t="shared" si="70"/>
        <v>35.456060606060618</v>
      </c>
      <c r="BD53" s="210">
        <f t="shared" si="70"/>
        <v>35.456060606060618</v>
      </c>
      <c r="BE53" s="210">
        <f t="shared" si="70"/>
        <v>35.456060606060618</v>
      </c>
      <c r="BF53" s="210">
        <f t="shared" si="70"/>
        <v>35.456060606060618</v>
      </c>
      <c r="BG53" s="210">
        <f t="shared" si="70"/>
        <v>35.456060606060618</v>
      </c>
      <c r="BH53" s="210">
        <f t="shared" si="70"/>
        <v>35.456060606060618</v>
      </c>
      <c r="BI53" s="210">
        <f t="shared" si="70"/>
        <v>35.456060606060618</v>
      </c>
      <c r="BJ53" s="210">
        <f t="shared" si="70"/>
        <v>35.456060606060618</v>
      </c>
      <c r="BK53" s="210">
        <f t="shared" si="70"/>
        <v>35.456060606060618</v>
      </c>
      <c r="BL53" s="210">
        <f t="shared" si="70"/>
        <v>35.456060606060618</v>
      </c>
      <c r="BM53" s="210">
        <f t="shared" si="70"/>
        <v>35.456060606060618</v>
      </c>
      <c r="BN53" s="210">
        <f t="shared" si="70"/>
        <v>-626.0634249471459</v>
      </c>
      <c r="BO53" s="210">
        <f t="shared" si="70"/>
        <v>-626.0634249471459</v>
      </c>
      <c r="BP53" s="210">
        <f t="shared" si="70"/>
        <v>-626.0634249471459</v>
      </c>
      <c r="BQ53" s="210">
        <f t="shared" si="70"/>
        <v>-626.0634249471459</v>
      </c>
      <c r="BR53" s="210">
        <f t="shared" ref="BR53:DA53" si="71">IF(BR$22&lt;=$E$24,IF(BR$22&lt;=$D$24,IF(BR$22&lt;=$C$24,IF(BR$22&lt;=$B$24,$B119,($C36-$B36)/($C$24-$B$24)),($D36-$C36)/($D$24-$C$24)),($E36-$D36)/($E$24-$D$24)),$F119)</f>
        <v>-626.0634249471459</v>
      </c>
      <c r="BS53" s="210">
        <f t="shared" si="71"/>
        <v>-626.0634249471459</v>
      </c>
      <c r="BT53" s="210">
        <f t="shared" si="71"/>
        <v>-626.0634249471459</v>
      </c>
      <c r="BU53" s="210">
        <f t="shared" si="71"/>
        <v>-626.0634249471459</v>
      </c>
      <c r="BV53" s="210">
        <f t="shared" si="71"/>
        <v>-626.0634249471459</v>
      </c>
      <c r="BW53" s="210">
        <f t="shared" si="71"/>
        <v>-626.0634249471459</v>
      </c>
      <c r="BX53" s="210">
        <f t="shared" si="71"/>
        <v>-626.0634249471459</v>
      </c>
      <c r="BY53" s="210">
        <f t="shared" si="71"/>
        <v>-626.0634249471459</v>
      </c>
      <c r="BZ53" s="210">
        <f t="shared" si="71"/>
        <v>-626.0634249471459</v>
      </c>
      <c r="CA53" s="210">
        <f t="shared" si="71"/>
        <v>-626.0634249471459</v>
      </c>
      <c r="CB53" s="210">
        <f t="shared" si="71"/>
        <v>-626.0634249471459</v>
      </c>
      <c r="CC53" s="210">
        <f t="shared" si="71"/>
        <v>-626.0634249471459</v>
      </c>
      <c r="CD53" s="210">
        <f t="shared" si="71"/>
        <v>-626.0634249471459</v>
      </c>
      <c r="CE53" s="210">
        <f t="shared" si="71"/>
        <v>-626.0634249471459</v>
      </c>
      <c r="CF53" s="210">
        <f t="shared" si="71"/>
        <v>-626.0634249471459</v>
      </c>
      <c r="CG53" s="210">
        <f t="shared" si="71"/>
        <v>-626.0634249471459</v>
      </c>
      <c r="CH53" s="210">
        <f t="shared" si="71"/>
        <v>-626.0634249471459</v>
      </c>
      <c r="CI53" s="210">
        <f t="shared" si="71"/>
        <v>-626.0634249471459</v>
      </c>
      <c r="CJ53" s="210">
        <f t="shared" si="71"/>
        <v>105.56363636363638</v>
      </c>
      <c r="CK53" s="210">
        <f t="shared" si="71"/>
        <v>105.56363636363638</v>
      </c>
      <c r="CL53" s="210">
        <f t="shared" si="71"/>
        <v>105.56363636363638</v>
      </c>
      <c r="CM53" s="210">
        <f t="shared" si="71"/>
        <v>105.56363636363638</v>
      </c>
      <c r="CN53" s="210">
        <f t="shared" si="71"/>
        <v>105.56363636363638</v>
      </c>
      <c r="CO53" s="210">
        <f t="shared" si="71"/>
        <v>105.56363636363638</v>
      </c>
      <c r="CP53" s="210">
        <f t="shared" si="71"/>
        <v>105.56363636363638</v>
      </c>
      <c r="CQ53" s="210">
        <f t="shared" si="71"/>
        <v>105.56363636363638</v>
      </c>
      <c r="CR53" s="210">
        <f t="shared" si="71"/>
        <v>105.56363636363638</v>
      </c>
      <c r="CS53" s="210">
        <f t="shared" si="71"/>
        <v>105.56363636363638</v>
      </c>
      <c r="CT53" s="210">
        <f t="shared" si="71"/>
        <v>105.56363636363638</v>
      </c>
      <c r="CU53" s="210">
        <f t="shared" si="71"/>
        <v>105.56363636363638</v>
      </c>
      <c r="CV53" s="210">
        <f t="shared" si="71"/>
        <v>105.56363636363638</v>
      </c>
      <c r="CW53" s="210">
        <f t="shared" si="71"/>
        <v>105.56363636363638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149.33333333333334</v>
      </c>
      <c r="AE54" s="210">
        <f t="shared" si="72"/>
        <v>149.33333333333334</v>
      </c>
      <c r="AF54" s="210">
        <f t="shared" si="72"/>
        <v>149.33333333333334</v>
      </c>
      <c r="AG54" s="210">
        <f t="shared" si="72"/>
        <v>149.33333333333334</v>
      </c>
      <c r="AH54" s="210">
        <f t="shared" si="72"/>
        <v>149.33333333333334</v>
      </c>
      <c r="AI54" s="210">
        <f t="shared" si="72"/>
        <v>149.33333333333334</v>
      </c>
      <c r="AJ54" s="210">
        <f t="shared" si="72"/>
        <v>149.33333333333334</v>
      </c>
      <c r="AK54" s="210">
        <f t="shared" si="72"/>
        <v>149.33333333333334</v>
      </c>
      <c r="AL54" s="210">
        <f t="shared" ref="AL54:BQ54" si="73">IF(AL$22&lt;=$E$24,IF(AL$22&lt;=$D$24,IF(AL$22&lt;=$C$24,IF(AL$22&lt;=$B$24,$B120,($C37-$B37)/($C$24-$B$24)),($D37-$C37)/($D$24-$C$24)),($E37-$D37)/($E$24-$D$24)),$F120)</f>
        <v>149.33333333333334</v>
      </c>
      <c r="AM54" s="210">
        <f t="shared" si="73"/>
        <v>149.33333333333334</v>
      </c>
      <c r="AN54" s="210">
        <f t="shared" si="73"/>
        <v>149.33333333333334</v>
      </c>
      <c r="AO54" s="210">
        <f t="shared" si="73"/>
        <v>149.33333333333334</v>
      </c>
      <c r="AP54" s="210">
        <f t="shared" si="73"/>
        <v>149.33333333333334</v>
      </c>
      <c r="AQ54" s="210">
        <f t="shared" si="73"/>
        <v>149.33333333333334</v>
      </c>
      <c r="AR54" s="210">
        <f t="shared" si="73"/>
        <v>149.33333333333334</v>
      </c>
      <c r="AS54" s="210">
        <f t="shared" si="73"/>
        <v>149.33333333333334</v>
      </c>
      <c r="AT54" s="210">
        <f t="shared" si="73"/>
        <v>149.33333333333334</v>
      </c>
      <c r="AU54" s="210">
        <f t="shared" si="73"/>
        <v>149.33333333333334</v>
      </c>
      <c r="AV54" s="210">
        <f t="shared" si="73"/>
        <v>149.33333333333334</v>
      </c>
      <c r="AW54" s="210">
        <f t="shared" si="73"/>
        <v>149.33333333333334</v>
      </c>
      <c r="AX54" s="210">
        <f t="shared" si="73"/>
        <v>149.33333333333334</v>
      </c>
      <c r="AY54" s="210">
        <f t="shared" si="73"/>
        <v>149.33333333333334</v>
      </c>
      <c r="AZ54" s="210">
        <f t="shared" si="73"/>
        <v>149.33333333333334</v>
      </c>
      <c r="BA54" s="210">
        <f t="shared" si="73"/>
        <v>149.33333333333334</v>
      </c>
      <c r="BB54" s="210">
        <f t="shared" si="73"/>
        <v>149.33333333333334</v>
      </c>
      <c r="BC54" s="210">
        <f t="shared" si="73"/>
        <v>149.33333333333334</v>
      </c>
      <c r="BD54" s="210">
        <f t="shared" si="73"/>
        <v>149.33333333333334</v>
      </c>
      <c r="BE54" s="210">
        <f t="shared" si="73"/>
        <v>149.33333333333334</v>
      </c>
      <c r="BF54" s="210">
        <f t="shared" si="73"/>
        <v>149.33333333333334</v>
      </c>
      <c r="BG54" s="210">
        <f t="shared" si="73"/>
        <v>149.33333333333334</v>
      </c>
      <c r="BH54" s="210">
        <f t="shared" si="73"/>
        <v>149.33333333333334</v>
      </c>
      <c r="BI54" s="210">
        <f t="shared" si="73"/>
        <v>149.33333333333334</v>
      </c>
      <c r="BJ54" s="210">
        <f t="shared" si="73"/>
        <v>149.33333333333334</v>
      </c>
      <c r="BK54" s="210">
        <f t="shared" si="73"/>
        <v>149.33333333333334</v>
      </c>
      <c r="BL54" s="210">
        <f t="shared" si="73"/>
        <v>149.33333333333334</v>
      </c>
      <c r="BM54" s="210">
        <f t="shared" si="73"/>
        <v>149.33333333333334</v>
      </c>
      <c r="BN54" s="210">
        <f t="shared" si="73"/>
        <v>-187.53488372093022</v>
      </c>
      <c r="BO54" s="210">
        <f t="shared" si="73"/>
        <v>-187.53488372093022</v>
      </c>
      <c r="BP54" s="210">
        <f t="shared" si="73"/>
        <v>-187.53488372093022</v>
      </c>
      <c r="BQ54" s="210">
        <f t="shared" si="73"/>
        <v>-187.53488372093022</v>
      </c>
      <c r="BR54" s="210">
        <f t="shared" ref="BR54:DA54" si="74">IF(BR$22&lt;=$E$24,IF(BR$22&lt;=$D$24,IF(BR$22&lt;=$C$24,IF(BR$22&lt;=$B$24,$B120,($C37-$B37)/($C$24-$B$24)),($D37-$C37)/($D$24-$C$24)),($E37-$D37)/($E$24-$D$24)),$F120)</f>
        <v>-187.53488372093022</v>
      </c>
      <c r="BS54" s="210">
        <f t="shared" si="74"/>
        <v>-187.53488372093022</v>
      </c>
      <c r="BT54" s="210">
        <f t="shared" si="74"/>
        <v>-187.53488372093022</v>
      </c>
      <c r="BU54" s="210">
        <f t="shared" si="74"/>
        <v>-187.53488372093022</v>
      </c>
      <c r="BV54" s="210">
        <f t="shared" si="74"/>
        <v>-187.53488372093022</v>
      </c>
      <c r="BW54" s="210">
        <f t="shared" si="74"/>
        <v>-187.53488372093022</v>
      </c>
      <c r="BX54" s="210">
        <f t="shared" si="74"/>
        <v>-187.53488372093022</v>
      </c>
      <c r="BY54" s="210">
        <f t="shared" si="74"/>
        <v>-187.53488372093022</v>
      </c>
      <c r="BZ54" s="210">
        <f t="shared" si="74"/>
        <v>-187.53488372093022</v>
      </c>
      <c r="CA54" s="210">
        <f t="shared" si="74"/>
        <v>-187.53488372093022</v>
      </c>
      <c r="CB54" s="210">
        <f t="shared" si="74"/>
        <v>-187.53488372093022</v>
      </c>
      <c r="CC54" s="210">
        <f t="shared" si="74"/>
        <v>-187.53488372093022</v>
      </c>
      <c r="CD54" s="210">
        <f t="shared" si="74"/>
        <v>-187.53488372093022</v>
      </c>
      <c r="CE54" s="210">
        <f t="shared" si="74"/>
        <v>-187.53488372093022</v>
      </c>
      <c r="CF54" s="210">
        <f t="shared" si="74"/>
        <v>-187.53488372093022</v>
      </c>
      <c r="CG54" s="210">
        <f t="shared" si="74"/>
        <v>-187.53488372093022</v>
      </c>
      <c r="CH54" s="210">
        <f t="shared" si="74"/>
        <v>-187.53488372093022</v>
      </c>
      <c r="CI54" s="210">
        <f t="shared" si="74"/>
        <v>-187.53488372093022</v>
      </c>
      <c r="CJ54" s="210">
        <f t="shared" si="74"/>
        <v>1248</v>
      </c>
      <c r="CK54" s="210">
        <f t="shared" si="74"/>
        <v>1248</v>
      </c>
      <c r="CL54" s="210">
        <f t="shared" si="74"/>
        <v>1248</v>
      </c>
      <c r="CM54" s="210">
        <f t="shared" si="74"/>
        <v>1248</v>
      </c>
      <c r="CN54" s="210">
        <f t="shared" si="74"/>
        <v>1248</v>
      </c>
      <c r="CO54" s="210">
        <f t="shared" si="74"/>
        <v>1248</v>
      </c>
      <c r="CP54" s="210">
        <f t="shared" si="74"/>
        <v>1248</v>
      </c>
      <c r="CQ54" s="210">
        <f t="shared" si="74"/>
        <v>1248</v>
      </c>
      <c r="CR54" s="210">
        <f t="shared" si="74"/>
        <v>1248</v>
      </c>
      <c r="CS54" s="210">
        <f t="shared" si="74"/>
        <v>1248</v>
      </c>
      <c r="CT54" s="210">
        <f t="shared" si="74"/>
        <v>1248</v>
      </c>
      <c r="CU54" s="210">
        <f t="shared" si="74"/>
        <v>1248</v>
      </c>
      <c r="CV54" s="210">
        <f t="shared" si="74"/>
        <v>1248</v>
      </c>
      <c r="CW54" s="210">
        <f t="shared" si="74"/>
        <v>1248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1337.5451015125855</v>
      </c>
      <c r="G59" s="204">
        <f t="shared" si="75"/>
        <v>1337.5451015125855</v>
      </c>
      <c r="H59" s="204">
        <f t="shared" si="75"/>
        <v>1337.5451015125855</v>
      </c>
      <c r="I59" s="204">
        <f t="shared" si="75"/>
        <v>1337.5451015125855</v>
      </c>
      <c r="J59" s="204">
        <f t="shared" si="75"/>
        <v>1337.5451015125855</v>
      </c>
      <c r="K59" s="204">
        <f t="shared" si="75"/>
        <v>1337.5451015125855</v>
      </c>
      <c r="L59" s="204">
        <f t="shared" si="75"/>
        <v>1337.5451015125855</v>
      </c>
      <c r="M59" s="204">
        <f t="shared" si="75"/>
        <v>1337.5451015125855</v>
      </c>
      <c r="N59" s="204">
        <f t="shared" si="75"/>
        <v>1337.5451015125855</v>
      </c>
      <c r="O59" s="204">
        <f t="shared" si="75"/>
        <v>1337.5451015125855</v>
      </c>
      <c r="P59" s="204">
        <f t="shared" si="75"/>
        <v>1337.5451015125855</v>
      </c>
      <c r="Q59" s="204">
        <f t="shared" si="75"/>
        <v>1337.5451015125855</v>
      </c>
      <c r="R59" s="204">
        <f t="shared" si="75"/>
        <v>1337.5451015125855</v>
      </c>
      <c r="S59" s="204">
        <f t="shared" si="75"/>
        <v>1337.5451015125855</v>
      </c>
      <c r="T59" s="204">
        <f t="shared" si="75"/>
        <v>1337.5451015125855</v>
      </c>
      <c r="U59" s="204">
        <f t="shared" si="75"/>
        <v>1337.5451015125855</v>
      </c>
      <c r="V59" s="204">
        <f t="shared" si="75"/>
        <v>1337.5451015125855</v>
      </c>
      <c r="W59" s="204">
        <f t="shared" si="75"/>
        <v>1337.5451015125855</v>
      </c>
      <c r="X59" s="204">
        <f t="shared" si="75"/>
        <v>1337.5451015125855</v>
      </c>
      <c r="Y59" s="204">
        <f t="shared" si="75"/>
        <v>1337.5451015125855</v>
      </c>
      <c r="Z59" s="204">
        <f t="shared" si="75"/>
        <v>1337.5451015125855</v>
      </c>
      <c r="AA59" s="204">
        <f t="shared" si="75"/>
        <v>1337.5451015125855</v>
      </c>
      <c r="AB59" s="204">
        <f t="shared" si="75"/>
        <v>1337.5451015125855</v>
      </c>
      <c r="AC59" s="204">
        <f t="shared" si="75"/>
        <v>1337.5451015125855</v>
      </c>
      <c r="AD59" s="204">
        <f t="shared" si="75"/>
        <v>1362.2745008640779</v>
      </c>
      <c r="AE59" s="204">
        <f t="shared" si="75"/>
        <v>1411.7332995670631</v>
      </c>
      <c r="AF59" s="204">
        <f t="shared" si="75"/>
        <v>1461.1920982700483</v>
      </c>
      <c r="AG59" s="204">
        <f t="shared" si="75"/>
        <v>1510.6508969730335</v>
      </c>
      <c r="AH59" s="204">
        <f t="shared" si="75"/>
        <v>1560.1096956760186</v>
      </c>
      <c r="AI59" s="204">
        <f t="shared" si="75"/>
        <v>1609.5684943790038</v>
      </c>
      <c r="AJ59" s="204">
        <f t="shared" si="75"/>
        <v>1659.027293081989</v>
      </c>
      <c r="AK59" s="204">
        <f t="shared" si="75"/>
        <v>1708.4860917849742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1757.9448904879594</v>
      </c>
      <c r="AM59" s="204">
        <f t="shared" si="76"/>
        <v>1807.4036891909445</v>
      </c>
      <c r="AN59" s="204">
        <f t="shared" si="76"/>
        <v>1856.8624878939297</v>
      </c>
      <c r="AO59" s="204">
        <f t="shared" si="76"/>
        <v>1906.3212865969149</v>
      </c>
      <c r="AP59" s="204">
        <f t="shared" si="76"/>
        <v>1955.7800852998998</v>
      </c>
      <c r="AQ59" s="204">
        <f t="shared" si="76"/>
        <v>2005.2388840028852</v>
      </c>
      <c r="AR59" s="204">
        <f t="shared" si="76"/>
        <v>2054.6976827058702</v>
      </c>
      <c r="AS59" s="204">
        <f t="shared" si="76"/>
        <v>2104.1564814088556</v>
      </c>
      <c r="AT59" s="204">
        <f t="shared" si="76"/>
        <v>2153.6152801118405</v>
      </c>
      <c r="AU59" s="204">
        <f t="shared" si="76"/>
        <v>2203.074078814826</v>
      </c>
      <c r="AV59" s="204">
        <f t="shared" si="76"/>
        <v>2252.5328775178109</v>
      </c>
      <c r="AW59" s="204">
        <f t="shared" si="76"/>
        <v>2301.9916762207963</v>
      </c>
      <c r="AX59" s="204">
        <f t="shared" si="76"/>
        <v>2351.4504749237813</v>
      </c>
      <c r="AY59" s="204">
        <f t="shared" si="76"/>
        <v>2400.9092736267667</v>
      </c>
      <c r="AZ59" s="204">
        <f t="shared" si="76"/>
        <v>2450.3680723297516</v>
      </c>
      <c r="BA59" s="204">
        <f t="shared" si="76"/>
        <v>2499.8268710327366</v>
      </c>
      <c r="BB59" s="204">
        <f t="shared" si="76"/>
        <v>2549.285669735722</v>
      </c>
      <c r="BC59" s="204">
        <f t="shared" si="76"/>
        <v>2598.7444684387074</v>
      </c>
      <c r="BD59" s="204">
        <f t="shared" si="76"/>
        <v>2648.2032671416923</v>
      </c>
      <c r="BE59" s="204">
        <f t="shared" si="76"/>
        <v>2697.6620658446773</v>
      </c>
      <c r="BF59" s="204">
        <f t="shared" si="76"/>
        <v>2747.1208645476627</v>
      </c>
      <c r="BG59" s="204">
        <f t="shared" si="76"/>
        <v>2796.5796632506481</v>
      </c>
      <c r="BH59" s="204">
        <f t="shared" si="76"/>
        <v>2846.038461953633</v>
      </c>
      <c r="BI59" s="204">
        <f t="shared" si="76"/>
        <v>2895.497260656618</v>
      </c>
      <c r="BJ59" s="204">
        <f t="shared" si="76"/>
        <v>2944.9560593596034</v>
      </c>
      <c r="BK59" s="204">
        <f t="shared" si="76"/>
        <v>2994.4148580625883</v>
      </c>
      <c r="BL59" s="204">
        <f t="shared" si="76"/>
        <v>3043.8736567655733</v>
      </c>
      <c r="BM59" s="204">
        <f t="shared" si="76"/>
        <v>3093.3324554685587</v>
      </c>
      <c r="BN59" s="204">
        <f t="shared" si="76"/>
        <v>3131.4697906853135</v>
      </c>
      <c r="BO59" s="204">
        <f t="shared" si="76"/>
        <v>3158.285662415838</v>
      </c>
      <c r="BP59" s="204">
        <f t="shared" si="76"/>
        <v>3185.1015341463626</v>
      </c>
      <c r="BQ59" s="204">
        <f t="shared" si="76"/>
        <v>3211.9174058768872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3238.7332776074118</v>
      </c>
      <c r="BS59" s="204">
        <f t="shared" si="77"/>
        <v>3265.5491493379363</v>
      </c>
      <c r="BT59" s="204">
        <f t="shared" si="77"/>
        <v>3292.3650210684609</v>
      </c>
      <c r="BU59" s="204">
        <f t="shared" si="77"/>
        <v>3319.1808927989855</v>
      </c>
      <c r="BV59" s="204">
        <f t="shared" si="77"/>
        <v>3345.9967645295101</v>
      </c>
      <c r="BW59" s="204">
        <f t="shared" si="77"/>
        <v>3372.8126362600342</v>
      </c>
      <c r="BX59" s="204">
        <f t="shared" si="77"/>
        <v>3399.6285079905588</v>
      </c>
      <c r="BY59" s="204">
        <f t="shared" si="77"/>
        <v>3426.4443797210834</v>
      </c>
      <c r="BZ59" s="204">
        <f t="shared" si="77"/>
        <v>3453.2602514516079</v>
      </c>
      <c r="CA59" s="204">
        <f t="shared" si="77"/>
        <v>3480.0761231821325</v>
      </c>
      <c r="CB59" s="204">
        <f t="shared" si="77"/>
        <v>3506.8919949126571</v>
      </c>
      <c r="CC59" s="204">
        <f t="shared" si="77"/>
        <v>3533.7078666431817</v>
      </c>
      <c r="CD59" s="204">
        <f t="shared" si="77"/>
        <v>3560.5237383737062</v>
      </c>
      <c r="CE59" s="204">
        <f t="shared" si="77"/>
        <v>3587.3396101042308</v>
      </c>
      <c r="CF59" s="204">
        <f t="shared" si="77"/>
        <v>3614.1554818347549</v>
      </c>
      <c r="CG59" s="204">
        <f t="shared" si="77"/>
        <v>3640.9713535652795</v>
      </c>
      <c r="CH59" s="204">
        <f t="shared" si="77"/>
        <v>3667.7872252958041</v>
      </c>
      <c r="CI59" s="204">
        <f t="shared" si="77"/>
        <v>3694.6030970263287</v>
      </c>
      <c r="CJ59" s="204">
        <f t="shared" si="77"/>
        <v>3606.6702276610463</v>
      </c>
      <c r="CK59" s="204">
        <f t="shared" si="77"/>
        <v>3518.7373582957644</v>
      </c>
      <c r="CL59" s="204">
        <f t="shared" si="77"/>
        <v>3430.804488930482</v>
      </c>
      <c r="CM59" s="204">
        <f t="shared" si="77"/>
        <v>3342.8716195652</v>
      </c>
      <c r="CN59" s="204">
        <f t="shared" si="77"/>
        <v>3254.9387501999176</v>
      </c>
      <c r="CO59" s="204">
        <f t="shared" si="77"/>
        <v>3167.0058808346357</v>
      </c>
      <c r="CP59" s="204">
        <f t="shared" si="77"/>
        <v>3079.0730114693533</v>
      </c>
      <c r="CQ59" s="204">
        <f t="shared" si="77"/>
        <v>2991.1401421040709</v>
      </c>
      <c r="CR59" s="204">
        <f t="shared" si="77"/>
        <v>2903.207272738789</v>
      </c>
      <c r="CS59" s="204">
        <f t="shared" si="77"/>
        <v>2815.2744033735071</v>
      </c>
      <c r="CT59" s="204">
        <f t="shared" si="77"/>
        <v>2727.3415340082247</v>
      </c>
      <c r="CU59" s="204">
        <f t="shared" si="77"/>
        <v>2639.4086646429423</v>
      </c>
      <c r="CV59" s="204">
        <f t="shared" si="77"/>
        <v>2551.4757952776599</v>
      </c>
      <c r="CW59" s="204">
        <f t="shared" si="77"/>
        <v>2463.542925912378</v>
      </c>
      <c r="CX59" s="204">
        <f t="shared" si="77"/>
        <v>2569.9029259123781</v>
      </c>
      <c r="CY59" s="204">
        <f t="shared" si="77"/>
        <v>2676.2629259123783</v>
      </c>
      <c r="CZ59" s="204">
        <f t="shared" si="77"/>
        <v>2782.6229259123784</v>
      </c>
      <c r="DA59" s="204">
        <f t="shared" si="77"/>
        <v>2888.9829259123781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9111.35</v>
      </c>
      <c r="G60" s="204">
        <f t="shared" si="78"/>
        <v>8771.09</v>
      </c>
      <c r="H60" s="204">
        <f t="shared" si="78"/>
        <v>8430.83</v>
      </c>
      <c r="I60" s="204">
        <f t="shared" si="78"/>
        <v>8090.57</v>
      </c>
      <c r="J60" s="204">
        <f t="shared" si="78"/>
        <v>7750.3099999999995</v>
      </c>
      <c r="K60" s="204">
        <f t="shared" si="78"/>
        <v>7410.0499999999993</v>
      </c>
      <c r="L60" s="204">
        <f t="shared" si="78"/>
        <v>7069.7900000000009</v>
      </c>
      <c r="M60" s="204">
        <f t="shared" si="78"/>
        <v>6729.5300000000007</v>
      </c>
      <c r="N60" s="204">
        <f t="shared" si="78"/>
        <v>6389.27</v>
      </c>
      <c r="O60" s="204">
        <f t="shared" si="78"/>
        <v>6049.01</v>
      </c>
      <c r="P60" s="204">
        <f t="shared" si="78"/>
        <v>5708.75</v>
      </c>
      <c r="Q60" s="204">
        <f t="shared" si="78"/>
        <v>5368.49</v>
      </c>
      <c r="R60" s="204">
        <f t="shared" si="78"/>
        <v>5028.2299999999996</v>
      </c>
      <c r="S60" s="204">
        <f t="shared" si="78"/>
        <v>4687.97</v>
      </c>
      <c r="T60" s="204">
        <f t="shared" si="78"/>
        <v>4347.71</v>
      </c>
      <c r="U60" s="204">
        <f t="shared" si="78"/>
        <v>4007.4500000000003</v>
      </c>
      <c r="V60" s="204">
        <f t="shared" si="78"/>
        <v>3667.19</v>
      </c>
      <c r="W60" s="204">
        <f t="shared" si="78"/>
        <v>3326.9300000000003</v>
      </c>
      <c r="X60" s="204">
        <f t="shared" si="78"/>
        <v>2986.67</v>
      </c>
      <c r="Y60" s="204">
        <f t="shared" si="78"/>
        <v>2646.4100000000003</v>
      </c>
      <c r="Z60" s="204">
        <f t="shared" si="78"/>
        <v>2306.15</v>
      </c>
      <c r="AA60" s="204">
        <f t="shared" si="78"/>
        <v>1965.8900000000003</v>
      </c>
      <c r="AB60" s="204">
        <f t="shared" si="78"/>
        <v>1625.63</v>
      </c>
      <c r="AC60" s="204">
        <f t="shared" si="78"/>
        <v>1285.3700000000003</v>
      </c>
      <c r="AD60" s="204">
        <f t="shared" si="78"/>
        <v>1141.3616666666669</v>
      </c>
      <c r="AE60" s="204">
        <f t="shared" si="78"/>
        <v>1193.6050000000002</v>
      </c>
      <c r="AF60" s="204">
        <f t="shared" si="78"/>
        <v>1245.8483333333336</v>
      </c>
      <c r="AG60" s="204">
        <f t="shared" si="78"/>
        <v>1298.0916666666669</v>
      </c>
      <c r="AH60" s="204">
        <f t="shared" si="78"/>
        <v>1350.3350000000003</v>
      </c>
      <c r="AI60" s="204">
        <f t="shared" si="78"/>
        <v>1402.5783333333336</v>
      </c>
      <c r="AJ60" s="204">
        <f t="shared" si="78"/>
        <v>1454.8216666666667</v>
      </c>
      <c r="AK60" s="204">
        <f t="shared" si="78"/>
        <v>1507.0650000000001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1559.3083333333334</v>
      </c>
      <c r="AM60" s="204">
        <f t="shared" si="79"/>
        <v>1611.5516666666667</v>
      </c>
      <c r="AN60" s="204">
        <f t="shared" si="79"/>
        <v>1663.7950000000001</v>
      </c>
      <c r="AO60" s="204">
        <f t="shared" si="79"/>
        <v>1716.0383333333334</v>
      </c>
      <c r="AP60" s="204">
        <f t="shared" si="79"/>
        <v>1768.2816666666668</v>
      </c>
      <c r="AQ60" s="204">
        <f t="shared" si="79"/>
        <v>1820.5250000000001</v>
      </c>
      <c r="AR60" s="204">
        <f t="shared" si="79"/>
        <v>1872.7683333333334</v>
      </c>
      <c r="AS60" s="204">
        <f t="shared" si="79"/>
        <v>1925.0116666666668</v>
      </c>
      <c r="AT60" s="204">
        <f t="shared" si="79"/>
        <v>1977.2550000000001</v>
      </c>
      <c r="AU60" s="204">
        <f t="shared" si="79"/>
        <v>2029.4983333333334</v>
      </c>
      <c r="AV60" s="204">
        <f t="shared" si="79"/>
        <v>2081.7416666666668</v>
      </c>
      <c r="AW60" s="204">
        <f t="shared" si="79"/>
        <v>2133.9850000000001</v>
      </c>
      <c r="AX60" s="204">
        <f t="shared" si="79"/>
        <v>2186.2283333333335</v>
      </c>
      <c r="AY60" s="204">
        <f t="shared" si="79"/>
        <v>2238.4716666666668</v>
      </c>
      <c r="AZ60" s="204">
        <f t="shared" si="79"/>
        <v>2290.7150000000001</v>
      </c>
      <c r="BA60" s="204">
        <f t="shared" si="79"/>
        <v>2342.9583333333335</v>
      </c>
      <c r="BB60" s="204">
        <f t="shared" si="79"/>
        <v>2395.2016666666668</v>
      </c>
      <c r="BC60" s="204">
        <f t="shared" si="79"/>
        <v>2447.4449999999997</v>
      </c>
      <c r="BD60" s="204">
        <f t="shared" si="79"/>
        <v>2499.6883333333335</v>
      </c>
      <c r="BE60" s="204">
        <f t="shared" si="79"/>
        <v>2551.9316666666664</v>
      </c>
      <c r="BF60" s="204">
        <f t="shared" si="79"/>
        <v>2604.1750000000002</v>
      </c>
      <c r="BG60" s="204">
        <f t="shared" si="79"/>
        <v>2656.4183333333331</v>
      </c>
      <c r="BH60" s="204">
        <f t="shared" si="79"/>
        <v>2708.6616666666669</v>
      </c>
      <c r="BI60" s="204">
        <f t="shared" si="79"/>
        <v>2760.9049999999997</v>
      </c>
      <c r="BJ60" s="204">
        <f t="shared" si="79"/>
        <v>2813.1483333333335</v>
      </c>
      <c r="BK60" s="204">
        <f t="shared" si="79"/>
        <v>2865.3916666666664</v>
      </c>
      <c r="BL60" s="204">
        <f t="shared" si="79"/>
        <v>2917.6350000000002</v>
      </c>
      <c r="BM60" s="204">
        <f t="shared" si="79"/>
        <v>2969.8783333333331</v>
      </c>
      <c r="BN60" s="204">
        <f t="shared" si="79"/>
        <v>3066.3255813953488</v>
      </c>
      <c r="BO60" s="204">
        <f t="shared" si="79"/>
        <v>3206.9767441860467</v>
      </c>
      <c r="BP60" s="204">
        <f t="shared" si="79"/>
        <v>3347.6279069767443</v>
      </c>
      <c r="BQ60" s="204">
        <f t="shared" si="79"/>
        <v>3488.2790697674418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3628.9302325581393</v>
      </c>
      <c r="BS60" s="204">
        <f t="shared" si="80"/>
        <v>3769.5813953488373</v>
      </c>
      <c r="BT60" s="204">
        <f t="shared" si="80"/>
        <v>3910.2325581395348</v>
      </c>
      <c r="BU60" s="204">
        <f t="shared" si="80"/>
        <v>4050.8837209302328</v>
      </c>
      <c r="BV60" s="204">
        <f t="shared" si="80"/>
        <v>4191.5348837209303</v>
      </c>
      <c r="BW60" s="204">
        <f t="shared" si="80"/>
        <v>4332.1860465116279</v>
      </c>
      <c r="BX60" s="204">
        <f t="shared" si="80"/>
        <v>4472.8372093023254</v>
      </c>
      <c r="BY60" s="204">
        <f t="shared" si="80"/>
        <v>4613.4883720930229</v>
      </c>
      <c r="BZ60" s="204">
        <f t="shared" si="80"/>
        <v>4754.1395348837214</v>
      </c>
      <c r="CA60" s="204">
        <f t="shared" si="80"/>
        <v>4894.790697674418</v>
      </c>
      <c r="CB60" s="204">
        <f t="shared" si="80"/>
        <v>5035.4418604651164</v>
      </c>
      <c r="CC60" s="204">
        <f t="shared" si="80"/>
        <v>5176.0930232558139</v>
      </c>
      <c r="CD60" s="204">
        <f t="shared" si="80"/>
        <v>5316.7441860465115</v>
      </c>
      <c r="CE60" s="204">
        <f t="shared" si="80"/>
        <v>5457.395348837209</v>
      </c>
      <c r="CF60" s="204">
        <f t="shared" si="80"/>
        <v>5598.0465116279065</v>
      </c>
      <c r="CG60" s="204">
        <f t="shared" si="80"/>
        <v>5738.6976744186049</v>
      </c>
      <c r="CH60" s="204">
        <f t="shared" si="80"/>
        <v>5879.3488372093016</v>
      </c>
      <c r="CI60" s="204">
        <f t="shared" si="80"/>
        <v>6020</v>
      </c>
      <c r="CJ60" s="204">
        <f t="shared" si="80"/>
        <v>6698.333333333333</v>
      </c>
      <c r="CK60" s="204">
        <f t="shared" si="80"/>
        <v>7376.6666666666661</v>
      </c>
      <c r="CL60" s="204">
        <f t="shared" si="80"/>
        <v>8055</v>
      </c>
      <c r="CM60" s="204">
        <f t="shared" si="80"/>
        <v>8733.3333333333321</v>
      </c>
      <c r="CN60" s="204">
        <f t="shared" si="80"/>
        <v>9411.6666666666661</v>
      </c>
      <c r="CO60" s="204">
        <f t="shared" si="80"/>
        <v>10090</v>
      </c>
      <c r="CP60" s="204">
        <f t="shared" si="80"/>
        <v>10768.333333333332</v>
      </c>
      <c r="CQ60" s="204">
        <f t="shared" si="80"/>
        <v>11446.666666666666</v>
      </c>
      <c r="CR60" s="204">
        <f t="shared" si="80"/>
        <v>12125</v>
      </c>
      <c r="CS60" s="204">
        <f t="shared" si="80"/>
        <v>12803.333333333332</v>
      </c>
      <c r="CT60" s="204">
        <f t="shared" si="80"/>
        <v>13481.666666666666</v>
      </c>
      <c r="CU60" s="204">
        <f t="shared" si="80"/>
        <v>14160</v>
      </c>
      <c r="CV60" s="204">
        <f t="shared" si="80"/>
        <v>14838.333333333332</v>
      </c>
      <c r="CW60" s="204">
        <f t="shared" si="80"/>
        <v>15516.666666666666</v>
      </c>
      <c r="CX60" s="204">
        <f t="shared" si="80"/>
        <v>16241.526666666667</v>
      </c>
      <c r="CY60" s="204">
        <f t="shared" si="80"/>
        <v>16966.386666666665</v>
      </c>
      <c r="CZ60" s="204">
        <f t="shared" si="80"/>
        <v>17691.246666666666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18416.106666666667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2.4755519451557038</v>
      </c>
      <c r="AE61" s="204">
        <f t="shared" si="81"/>
        <v>7.4266558354671108</v>
      </c>
      <c r="AF61" s="204">
        <f t="shared" si="81"/>
        <v>12.377759725778519</v>
      </c>
      <c r="AG61" s="204">
        <f t="shared" si="81"/>
        <v>17.328863616089926</v>
      </c>
      <c r="AH61" s="204">
        <f t="shared" si="81"/>
        <v>22.279967506401334</v>
      </c>
      <c r="AI61" s="204">
        <f t="shared" si="81"/>
        <v>27.231071396712743</v>
      </c>
      <c r="AJ61" s="204">
        <f t="shared" si="81"/>
        <v>32.182175287024151</v>
      </c>
      <c r="AK61" s="204">
        <f t="shared" si="81"/>
        <v>37.133279177335559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42.084383067646961</v>
      </c>
      <c r="AM61" s="204">
        <f t="shared" si="82"/>
        <v>47.035486957958369</v>
      </c>
      <c r="AN61" s="204">
        <f t="shared" si="82"/>
        <v>51.986590848269778</v>
      </c>
      <c r="AO61" s="204">
        <f t="shared" si="82"/>
        <v>56.937694738581186</v>
      </c>
      <c r="AP61" s="204">
        <f t="shared" si="82"/>
        <v>61.888798628892594</v>
      </c>
      <c r="AQ61" s="204">
        <f t="shared" si="82"/>
        <v>66.839902519204003</v>
      </c>
      <c r="AR61" s="204">
        <f t="shared" si="82"/>
        <v>71.791006409515404</v>
      </c>
      <c r="AS61" s="204">
        <f t="shared" si="82"/>
        <v>76.74211029982682</v>
      </c>
      <c r="AT61" s="204">
        <f t="shared" si="82"/>
        <v>81.693214190138221</v>
      </c>
      <c r="AU61" s="204">
        <f t="shared" si="82"/>
        <v>86.644318080449636</v>
      </c>
      <c r="AV61" s="204">
        <f t="shared" si="82"/>
        <v>91.595421970761038</v>
      </c>
      <c r="AW61" s="204">
        <f t="shared" si="82"/>
        <v>96.546525861072453</v>
      </c>
      <c r="AX61" s="204">
        <f t="shared" si="82"/>
        <v>101.49762975138385</v>
      </c>
      <c r="AY61" s="204">
        <f t="shared" si="82"/>
        <v>106.44873364169526</v>
      </c>
      <c r="AZ61" s="204">
        <f t="shared" si="82"/>
        <v>111.39983753200667</v>
      </c>
      <c r="BA61" s="204">
        <f t="shared" si="82"/>
        <v>116.35094142231807</v>
      </c>
      <c r="BB61" s="204">
        <f t="shared" si="82"/>
        <v>121.30204531262949</v>
      </c>
      <c r="BC61" s="204">
        <f t="shared" si="82"/>
        <v>126.25314920294089</v>
      </c>
      <c r="BD61" s="204">
        <f t="shared" si="82"/>
        <v>131.20425309325231</v>
      </c>
      <c r="BE61" s="204">
        <f t="shared" si="82"/>
        <v>136.15535698356371</v>
      </c>
      <c r="BF61" s="204">
        <f t="shared" si="82"/>
        <v>141.10646087387511</v>
      </c>
      <c r="BG61" s="204">
        <f t="shared" si="82"/>
        <v>146.05756476418651</v>
      </c>
      <c r="BH61" s="204">
        <f t="shared" si="82"/>
        <v>151.00866865449794</v>
      </c>
      <c r="BI61" s="204">
        <f t="shared" si="82"/>
        <v>155.95977254480934</v>
      </c>
      <c r="BJ61" s="204">
        <f t="shared" si="82"/>
        <v>160.91087643512074</v>
      </c>
      <c r="BK61" s="204">
        <f t="shared" si="82"/>
        <v>165.86198032543214</v>
      </c>
      <c r="BL61" s="204">
        <f t="shared" si="82"/>
        <v>170.81308421574357</v>
      </c>
      <c r="BM61" s="204">
        <f t="shared" si="82"/>
        <v>175.76418810605497</v>
      </c>
      <c r="BN61" s="204">
        <f t="shared" si="82"/>
        <v>183.42814978386764</v>
      </c>
      <c r="BO61" s="204">
        <f t="shared" si="82"/>
        <v>193.80496924918157</v>
      </c>
      <c r="BP61" s="204">
        <f t="shared" si="82"/>
        <v>204.1817887144955</v>
      </c>
      <c r="BQ61" s="204">
        <f t="shared" si="82"/>
        <v>214.5586081798094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224.93542764512333</v>
      </c>
      <c r="BS61" s="204">
        <f t="shared" si="83"/>
        <v>235.31224711043726</v>
      </c>
      <c r="BT61" s="204">
        <f t="shared" si="83"/>
        <v>245.68906657575118</v>
      </c>
      <c r="BU61" s="204">
        <f t="shared" si="83"/>
        <v>256.06588604106508</v>
      </c>
      <c r="BV61" s="204">
        <f t="shared" si="83"/>
        <v>266.44270550637901</v>
      </c>
      <c r="BW61" s="204">
        <f t="shared" si="83"/>
        <v>276.81952497169294</v>
      </c>
      <c r="BX61" s="204">
        <f t="shared" si="83"/>
        <v>287.19634443700687</v>
      </c>
      <c r="BY61" s="204">
        <f t="shared" si="83"/>
        <v>297.5731639023208</v>
      </c>
      <c r="BZ61" s="204">
        <f t="shared" si="83"/>
        <v>307.94998336763473</v>
      </c>
      <c r="CA61" s="204">
        <f t="shared" si="83"/>
        <v>318.3268028329486</v>
      </c>
      <c r="CB61" s="204">
        <f t="shared" si="83"/>
        <v>328.70362229826253</v>
      </c>
      <c r="CC61" s="204">
        <f t="shared" si="83"/>
        <v>339.08044176357646</v>
      </c>
      <c r="CD61" s="204">
        <f t="shared" si="83"/>
        <v>349.45726122889039</v>
      </c>
      <c r="CE61" s="204">
        <f t="shared" si="83"/>
        <v>359.83408069420432</v>
      </c>
      <c r="CF61" s="204">
        <f t="shared" si="83"/>
        <v>370.21090015951825</v>
      </c>
      <c r="CG61" s="204">
        <f t="shared" si="83"/>
        <v>380.58771962483218</v>
      </c>
      <c r="CH61" s="204">
        <f t="shared" si="83"/>
        <v>390.9645390901461</v>
      </c>
      <c r="CI61" s="204">
        <f t="shared" si="83"/>
        <v>401.34135855546003</v>
      </c>
      <c r="CJ61" s="204">
        <f t="shared" si="83"/>
        <v>493.50674513128263</v>
      </c>
      <c r="CK61" s="204">
        <f t="shared" si="83"/>
        <v>585.67213170710511</v>
      </c>
      <c r="CL61" s="204">
        <f t="shared" si="83"/>
        <v>677.8375182829277</v>
      </c>
      <c r="CM61" s="204">
        <f t="shared" si="83"/>
        <v>770.0029048587503</v>
      </c>
      <c r="CN61" s="204">
        <f t="shared" si="83"/>
        <v>862.16829143457289</v>
      </c>
      <c r="CO61" s="204">
        <f t="shared" si="83"/>
        <v>954.33367801039537</v>
      </c>
      <c r="CP61" s="204">
        <f t="shared" si="83"/>
        <v>1046.4990645862181</v>
      </c>
      <c r="CQ61" s="204">
        <f t="shared" si="83"/>
        <v>1138.6644511620407</v>
      </c>
      <c r="CR61" s="204">
        <f t="shared" si="83"/>
        <v>1230.8298377378633</v>
      </c>
      <c r="CS61" s="204">
        <f t="shared" si="83"/>
        <v>1322.9952243136859</v>
      </c>
      <c r="CT61" s="204">
        <f t="shared" si="83"/>
        <v>1415.1606108895082</v>
      </c>
      <c r="CU61" s="204">
        <f t="shared" si="83"/>
        <v>1507.3259974653306</v>
      </c>
      <c r="CV61" s="204">
        <f t="shared" si="83"/>
        <v>1599.4913840411532</v>
      </c>
      <c r="CW61" s="204">
        <f t="shared" si="83"/>
        <v>1691.6567706169758</v>
      </c>
      <c r="CX61" s="204">
        <f t="shared" si="83"/>
        <v>1700.0877706169761</v>
      </c>
      <c r="CY61" s="204">
        <f t="shared" si="83"/>
        <v>1708.5187706169761</v>
      </c>
      <c r="CZ61" s="204">
        <f t="shared" si="83"/>
        <v>1716.9497706169759</v>
      </c>
      <c r="DA61" s="204">
        <f t="shared" si="83"/>
        <v>1725.380770616976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31.111111111111111</v>
      </c>
      <c r="AE63" s="204">
        <f t="shared" si="87"/>
        <v>93.333333333333329</v>
      </c>
      <c r="AF63" s="204">
        <f t="shared" si="87"/>
        <v>155.55555555555554</v>
      </c>
      <c r="AG63" s="204">
        <f t="shared" si="87"/>
        <v>217.77777777777777</v>
      </c>
      <c r="AH63" s="204">
        <f t="shared" si="87"/>
        <v>280</v>
      </c>
      <c r="AI63" s="204">
        <f t="shared" si="87"/>
        <v>342.22222222222223</v>
      </c>
      <c r="AJ63" s="204">
        <f t="shared" si="87"/>
        <v>404.44444444444446</v>
      </c>
      <c r="AK63" s="204">
        <f t="shared" si="87"/>
        <v>466.66666666666669</v>
      </c>
      <c r="AL63" s="204">
        <f t="shared" si="87"/>
        <v>528.88888888888891</v>
      </c>
      <c r="AM63" s="204">
        <f t="shared" si="87"/>
        <v>591.11111111111109</v>
      </c>
      <c r="AN63" s="204">
        <f t="shared" si="87"/>
        <v>653.33333333333337</v>
      </c>
      <c r="AO63" s="204">
        <f t="shared" si="87"/>
        <v>715.55555555555554</v>
      </c>
      <c r="AP63" s="204">
        <f t="shared" si="87"/>
        <v>777.77777777777771</v>
      </c>
      <c r="AQ63" s="204">
        <f t="shared" si="87"/>
        <v>840</v>
      </c>
      <c r="AR63" s="204">
        <f t="shared" si="87"/>
        <v>902.22222222222217</v>
      </c>
      <c r="AS63" s="204">
        <f t="shared" si="87"/>
        <v>964.44444444444446</v>
      </c>
      <c r="AT63" s="204">
        <f t="shared" si="87"/>
        <v>1026.6666666666667</v>
      </c>
      <c r="AU63" s="204">
        <f t="shared" si="87"/>
        <v>1088.8888888888889</v>
      </c>
      <c r="AV63" s="204">
        <f t="shared" si="87"/>
        <v>1151.1111111111111</v>
      </c>
      <c r="AW63" s="204">
        <f t="shared" si="87"/>
        <v>1213.3333333333333</v>
      </c>
      <c r="AX63" s="204">
        <f t="shared" si="87"/>
        <v>1275.5555555555554</v>
      </c>
      <c r="AY63" s="204">
        <f t="shared" si="87"/>
        <v>1337.7777777777778</v>
      </c>
      <c r="AZ63" s="204">
        <f t="shared" si="87"/>
        <v>1400</v>
      </c>
      <c r="BA63" s="204">
        <f t="shared" si="87"/>
        <v>1462.2222222222222</v>
      </c>
      <c r="BB63" s="204">
        <f t="shared" si="87"/>
        <v>1524.4444444444443</v>
      </c>
      <c r="BC63" s="204">
        <f t="shared" si="87"/>
        <v>1586.6666666666667</v>
      </c>
      <c r="BD63" s="204">
        <f t="shared" si="87"/>
        <v>1648.8888888888889</v>
      </c>
      <c r="BE63" s="204">
        <f t="shared" si="87"/>
        <v>1711.1111111111111</v>
      </c>
      <c r="BF63" s="204">
        <f t="shared" si="87"/>
        <v>1773.3333333333333</v>
      </c>
      <c r="BG63" s="204">
        <f t="shared" si="87"/>
        <v>1835.5555555555554</v>
      </c>
      <c r="BH63" s="204">
        <f t="shared" si="87"/>
        <v>1897.7777777777778</v>
      </c>
      <c r="BI63" s="204">
        <f t="shared" si="87"/>
        <v>1960</v>
      </c>
      <c r="BJ63" s="204">
        <f t="shared" si="87"/>
        <v>2022.2222222222222</v>
      </c>
      <c r="BK63" s="204">
        <f t="shared" si="87"/>
        <v>2084.4444444444443</v>
      </c>
      <c r="BL63" s="204">
        <f t="shared" si="87"/>
        <v>2146.6666666666665</v>
      </c>
      <c r="BM63" s="204">
        <f t="shared" si="87"/>
        <v>2208.8888888888887</v>
      </c>
      <c r="BN63" s="204">
        <f t="shared" si="87"/>
        <v>2417.1162790697676</v>
      </c>
      <c r="BO63" s="204">
        <f t="shared" si="87"/>
        <v>2771.3488372093025</v>
      </c>
      <c r="BP63" s="204">
        <f t="shared" si="87"/>
        <v>3125.5813953488373</v>
      </c>
      <c r="BQ63" s="204">
        <f t="shared" si="87"/>
        <v>3479.8139534883721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3834.046511627907</v>
      </c>
      <c r="BS63" s="204">
        <f t="shared" si="89"/>
        <v>4188.2790697674418</v>
      </c>
      <c r="BT63" s="204">
        <f t="shared" si="89"/>
        <v>4542.5116279069771</v>
      </c>
      <c r="BU63" s="204">
        <f t="shared" si="89"/>
        <v>4896.7441860465115</v>
      </c>
      <c r="BV63" s="204">
        <f t="shared" si="89"/>
        <v>5250.9767441860467</v>
      </c>
      <c r="BW63" s="204">
        <f t="shared" si="89"/>
        <v>5605.209302325582</v>
      </c>
      <c r="BX63" s="204">
        <f t="shared" si="89"/>
        <v>5959.4418604651164</v>
      </c>
      <c r="BY63" s="204">
        <f t="shared" si="89"/>
        <v>6313.6744186046508</v>
      </c>
      <c r="BZ63" s="204">
        <f t="shared" si="89"/>
        <v>6667.9069767441861</v>
      </c>
      <c r="CA63" s="204">
        <f t="shared" si="89"/>
        <v>7022.1395348837214</v>
      </c>
      <c r="CB63" s="204">
        <f t="shared" si="89"/>
        <v>7376.3720930232557</v>
      </c>
      <c r="CC63" s="204">
        <f t="shared" si="89"/>
        <v>7730.604651162791</v>
      </c>
      <c r="CD63" s="204">
        <f t="shared" si="89"/>
        <v>8084.8372093023254</v>
      </c>
      <c r="CE63" s="204">
        <f t="shared" si="89"/>
        <v>8439.0697674418607</v>
      </c>
      <c r="CF63" s="204">
        <f t="shared" si="89"/>
        <v>8793.3023255813951</v>
      </c>
      <c r="CG63" s="204">
        <f t="shared" si="89"/>
        <v>9147.5348837209312</v>
      </c>
      <c r="CH63" s="204">
        <f t="shared" si="89"/>
        <v>9501.7674418604656</v>
      </c>
      <c r="CI63" s="204">
        <f t="shared" si="89"/>
        <v>9856</v>
      </c>
      <c r="CJ63" s="204">
        <f t="shared" si="89"/>
        <v>11499.333333333334</v>
      </c>
      <c r="CK63" s="204">
        <f t="shared" si="89"/>
        <v>13142.666666666666</v>
      </c>
      <c r="CL63" s="204">
        <f t="shared" si="89"/>
        <v>14786</v>
      </c>
      <c r="CM63" s="204">
        <f t="shared" si="89"/>
        <v>16429.333333333332</v>
      </c>
      <c r="CN63" s="204">
        <f t="shared" si="89"/>
        <v>18072.666666666664</v>
      </c>
      <c r="CO63" s="204">
        <f t="shared" si="89"/>
        <v>19716</v>
      </c>
      <c r="CP63" s="204">
        <f t="shared" si="89"/>
        <v>21359.333333333332</v>
      </c>
      <c r="CQ63" s="204">
        <f t="shared" si="89"/>
        <v>23002.666666666664</v>
      </c>
      <c r="CR63" s="204">
        <f t="shared" si="89"/>
        <v>24646</v>
      </c>
      <c r="CS63" s="204">
        <f t="shared" si="89"/>
        <v>26289.333333333332</v>
      </c>
      <c r="CT63" s="204">
        <f t="shared" si="89"/>
        <v>27932.666666666664</v>
      </c>
      <c r="CU63" s="204">
        <f t="shared" si="89"/>
        <v>29576</v>
      </c>
      <c r="CV63" s="204">
        <f t="shared" si="89"/>
        <v>31219.333333333332</v>
      </c>
      <c r="CW63" s="204">
        <f t="shared" si="89"/>
        <v>32862.666666666664</v>
      </c>
      <c r="CX63" s="204">
        <f t="shared" si="89"/>
        <v>32862.666666666664</v>
      </c>
      <c r="CY63" s="204">
        <f t="shared" si="89"/>
        <v>32862.666666666664</v>
      </c>
      <c r="CZ63" s="204">
        <f t="shared" si="89"/>
        <v>32862.666666666664</v>
      </c>
      <c r="DA63" s="204">
        <f t="shared" si="89"/>
        <v>32862.666666666664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1390.2461967551797</v>
      </c>
      <c r="G64" s="204">
        <f t="shared" si="90"/>
        <v>1390.2461967551797</v>
      </c>
      <c r="H64" s="204">
        <f t="shared" si="90"/>
        <v>1390.2461967551797</v>
      </c>
      <c r="I64" s="204">
        <f t="shared" si="90"/>
        <v>1390.2461967551797</v>
      </c>
      <c r="J64" s="204">
        <f t="shared" si="90"/>
        <v>1390.2461967551797</v>
      </c>
      <c r="K64" s="204">
        <f t="shared" si="90"/>
        <v>1390.2461967551797</v>
      </c>
      <c r="L64" s="204">
        <f t="shared" si="88"/>
        <v>1390.2461967551797</v>
      </c>
      <c r="M64" s="204">
        <f t="shared" si="90"/>
        <v>1390.2461967551797</v>
      </c>
      <c r="N64" s="204">
        <f t="shared" si="90"/>
        <v>1390.2461967551797</v>
      </c>
      <c r="O64" s="204">
        <f t="shared" si="90"/>
        <v>1390.2461967551797</v>
      </c>
      <c r="P64" s="204">
        <f t="shared" si="90"/>
        <v>1390.2461967551797</v>
      </c>
      <c r="Q64" s="204">
        <f t="shared" si="90"/>
        <v>1390.2461967551797</v>
      </c>
      <c r="R64" s="204">
        <f t="shared" si="90"/>
        <v>1390.2461967551797</v>
      </c>
      <c r="S64" s="204">
        <f t="shared" si="90"/>
        <v>1390.2461967551797</v>
      </c>
      <c r="T64" s="204">
        <f t="shared" si="90"/>
        <v>1390.2461967551797</v>
      </c>
      <c r="U64" s="204">
        <f t="shared" si="90"/>
        <v>1390.2461967551797</v>
      </c>
      <c r="V64" s="204">
        <f t="shared" si="90"/>
        <v>1390.2461967551797</v>
      </c>
      <c r="W64" s="204">
        <f t="shared" si="90"/>
        <v>1390.2461967551797</v>
      </c>
      <c r="X64" s="204">
        <f t="shared" si="90"/>
        <v>1390.2461967551797</v>
      </c>
      <c r="Y64" s="204">
        <f t="shared" si="90"/>
        <v>1390.2461967551797</v>
      </c>
      <c r="Z64" s="204">
        <f t="shared" si="90"/>
        <v>1390.2461967551797</v>
      </c>
      <c r="AA64" s="204">
        <f t="shared" si="90"/>
        <v>1390.2461967551797</v>
      </c>
      <c r="AB64" s="204">
        <f t="shared" si="90"/>
        <v>1390.2461967551797</v>
      </c>
      <c r="AC64" s="204">
        <f t="shared" si="90"/>
        <v>1390.2461967551797</v>
      </c>
      <c r="AD64" s="204">
        <f t="shared" si="90"/>
        <v>1407.1816662446911</v>
      </c>
      <c r="AE64" s="204">
        <f t="shared" si="90"/>
        <v>1441.052605223714</v>
      </c>
      <c r="AF64" s="204">
        <f t="shared" si="90"/>
        <v>1474.9235442027366</v>
      </c>
      <c r="AG64" s="204">
        <f t="shared" si="90"/>
        <v>1508.7944831817595</v>
      </c>
      <c r="AH64" s="204">
        <f t="shared" si="90"/>
        <v>1542.6654221607823</v>
      </c>
      <c r="AI64" s="204">
        <f t="shared" si="90"/>
        <v>1576.5363611398052</v>
      </c>
      <c r="AJ64" s="204">
        <f t="shared" si="90"/>
        <v>1610.4073001188278</v>
      </c>
      <c r="AK64" s="204">
        <f t="shared" si="90"/>
        <v>1644.2782390978507</v>
      </c>
      <c r="AL64" s="204">
        <f t="shared" si="90"/>
        <v>1678.1491780768736</v>
      </c>
      <c r="AM64" s="204">
        <f t="shared" si="90"/>
        <v>1712.0201170558962</v>
      </c>
      <c r="AN64" s="204">
        <f t="shared" si="90"/>
        <v>1745.8910560349191</v>
      </c>
      <c r="AO64" s="204">
        <f t="shared" si="90"/>
        <v>1779.7619950139419</v>
      </c>
      <c r="AP64" s="204">
        <f t="shared" si="90"/>
        <v>1813.6329339929648</v>
      </c>
      <c r="AQ64" s="204">
        <f t="shared" si="90"/>
        <v>1847.5038729719877</v>
      </c>
      <c r="AR64" s="204">
        <f t="shared" si="90"/>
        <v>1881.3748119510105</v>
      </c>
      <c r="AS64" s="204">
        <f t="shared" si="90"/>
        <v>1915.2457509300332</v>
      </c>
      <c r="AT64" s="204">
        <f t="shared" si="90"/>
        <v>1949.116689909056</v>
      </c>
      <c r="AU64" s="204">
        <f t="shared" si="90"/>
        <v>1982.9876288880787</v>
      </c>
      <c r="AV64" s="204">
        <f t="shared" si="90"/>
        <v>2016.8585678671016</v>
      </c>
      <c r="AW64" s="204">
        <f t="shared" si="90"/>
        <v>2050.7295068461244</v>
      </c>
      <c r="AX64" s="204">
        <f t="shared" si="90"/>
        <v>2084.6004458251473</v>
      </c>
      <c r="AY64" s="204">
        <f t="shared" si="90"/>
        <v>2118.4713848041702</v>
      </c>
      <c r="AZ64" s="204">
        <f t="shared" si="90"/>
        <v>2152.342323783193</v>
      </c>
      <c r="BA64" s="204">
        <f t="shared" si="90"/>
        <v>2186.2132627622159</v>
      </c>
      <c r="BB64" s="204">
        <f t="shared" si="90"/>
        <v>2220.0842017412388</v>
      </c>
      <c r="BC64" s="204">
        <f t="shared" si="90"/>
        <v>2253.9551407202612</v>
      </c>
      <c r="BD64" s="204">
        <f t="shared" si="90"/>
        <v>2287.826079699284</v>
      </c>
      <c r="BE64" s="204">
        <f t="shared" si="90"/>
        <v>2321.6970186783069</v>
      </c>
      <c r="BF64" s="204">
        <f t="shared" si="90"/>
        <v>2355.5679576573298</v>
      </c>
      <c r="BG64" s="204">
        <f t="shared" si="90"/>
        <v>2389.4388966363526</v>
      </c>
      <c r="BH64" s="204">
        <f t="shared" si="90"/>
        <v>2423.3098356153751</v>
      </c>
      <c r="BI64" s="204">
        <f t="shared" si="90"/>
        <v>2457.1807745943979</v>
      </c>
      <c r="BJ64" s="204">
        <f t="shared" si="90"/>
        <v>2491.0517135734208</v>
      </c>
      <c r="BK64" s="204">
        <f t="shared" si="90"/>
        <v>2524.9226525524437</v>
      </c>
      <c r="BL64" s="204">
        <f t="shared" si="90"/>
        <v>2558.7935915314665</v>
      </c>
      <c r="BM64" s="204">
        <f t="shared" si="90"/>
        <v>2592.6645305104894</v>
      </c>
      <c r="BN64" s="204">
        <f t="shared" si="90"/>
        <v>2548.9116279069776</v>
      </c>
      <c r="BO64" s="204">
        <f t="shared" si="90"/>
        <v>2427.5348837209308</v>
      </c>
      <c r="BP64" s="204">
        <f t="shared" si="90"/>
        <v>2306.1581395348844</v>
      </c>
      <c r="BQ64" s="204">
        <f t="shared" si="90"/>
        <v>2184.781395348838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2063.4046511627912</v>
      </c>
      <c r="BS64" s="204">
        <f t="shared" si="91"/>
        <v>1942.0279069767448</v>
      </c>
      <c r="BT64" s="204">
        <f t="shared" si="91"/>
        <v>1820.6511627906982</v>
      </c>
      <c r="BU64" s="204">
        <f t="shared" si="91"/>
        <v>1699.2744186046516</v>
      </c>
      <c r="BV64" s="204">
        <f t="shared" si="91"/>
        <v>1577.8976744186052</v>
      </c>
      <c r="BW64" s="204">
        <f t="shared" si="91"/>
        <v>1456.5209302325586</v>
      </c>
      <c r="BX64" s="204">
        <f t="shared" si="91"/>
        <v>1335.144186046512</v>
      </c>
      <c r="BY64" s="204">
        <f t="shared" si="91"/>
        <v>1213.7674418604654</v>
      </c>
      <c r="BZ64" s="204">
        <f t="shared" si="91"/>
        <v>1092.390697674419</v>
      </c>
      <c r="CA64" s="204">
        <f t="shared" si="91"/>
        <v>971.01395348837241</v>
      </c>
      <c r="CB64" s="204">
        <f t="shared" si="91"/>
        <v>849.6372093023258</v>
      </c>
      <c r="CC64" s="204">
        <f t="shared" si="91"/>
        <v>728.26046511627919</v>
      </c>
      <c r="CD64" s="204">
        <f t="shared" si="91"/>
        <v>606.88372093023281</v>
      </c>
      <c r="CE64" s="204">
        <f t="shared" si="91"/>
        <v>485.50697674418598</v>
      </c>
      <c r="CF64" s="204">
        <f t="shared" si="91"/>
        <v>364.1302325581396</v>
      </c>
      <c r="CG64" s="204">
        <f t="shared" si="91"/>
        <v>242.75348837209322</v>
      </c>
      <c r="CH64" s="204">
        <f t="shared" si="91"/>
        <v>121.37674418604638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8019.2154696132602</v>
      </c>
      <c r="G65" s="204">
        <f t="shared" si="92"/>
        <v>8019.2154696132602</v>
      </c>
      <c r="H65" s="204">
        <f t="shared" si="92"/>
        <v>8019.2154696132602</v>
      </c>
      <c r="I65" s="204">
        <f t="shared" si="92"/>
        <v>8019.2154696132602</v>
      </c>
      <c r="J65" s="204">
        <f t="shared" si="92"/>
        <v>8019.2154696132602</v>
      </c>
      <c r="K65" s="204">
        <f t="shared" si="92"/>
        <v>8019.2154696132602</v>
      </c>
      <c r="L65" s="204">
        <f t="shared" si="88"/>
        <v>8019.2154696132602</v>
      </c>
      <c r="M65" s="204">
        <f t="shared" si="92"/>
        <v>8019.2154696132602</v>
      </c>
      <c r="N65" s="204">
        <f t="shared" si="92"/>
        <v>8019.2154696132602</v>
      </c>
      <c r="O65" s="204">
        <f t="shared" si="92"/>
        <v>8019.2154696132602</v>
      </c>
      <c r="P65" s="204">
        <f t="shared" si="92"/>
        <v>8019.2154696132602</v>
      </c>
      <c r="Q65" s="204">
        <f t="shared" si="92"/>
        <v>8019.2154696132602</v>
      </c>
      <c r="R65" s="204">
        <f t="shared" si="92"/>
        <v>8019.2154696132602</v>
      </c>
      <c r="S65" s="204">
        <f t="shared" si="92"/>
        <v>8019.2154696132602</v>
      </c>
      <c r="T65" s="204">
        <f t="shared" si="92"/>
        <v>8019.2154696132602</v>
      </c>
      <c r="U65" s="204">
        <f t="shared" si="92"/>
        <v>8019.2154696132602</v>
      </c>
      <c r="V65" s="204">
        <f t="shared" si="92"/>
        <v>8019.2154696132602</v>
      </c>
      <c r="W65" s="204">
        <f t="shared" si="92"/>
        <v>8019.2154696132602</v>
      </c>
      <c r="X65" s="204">
        <f t="shared" si="92"/>
        <v>8019.2154696132602</v>
      </c>
      <c r="Y65" s="204">
        <f t="shared" si="92"/>
        <v>8019.2154696132602</v>
      </c>
      <c r="Z65" s="204">
        <f t="shared" si="92"/>
        <v>8019.2154696132602</v>
      </c>
      <c r="AA65" s="204">
        <f t="shared" si="92"/>
        <v>8019.2154696132602</v>
      </c>
      <c r="AB65" s="204">
        <f t="shared" si="92"/>
        <v>8019.2154696132602</v>
      </c>
      <c r="AC65" s="204">
        <f t="shared" si="92"/>
        <v>8019.2154696132602</v>
      </c>
      <c r="AD65" s="204">
        <f t="shared" si="92"/>
        <v>8135.3606813996321</v>
      </c>
      <c r="AE65" s="204">
        <f t="shared" si="92"/>
        <v>8367.6511049723758</v>
      </c>
      <c r="AF65" s="204">
        <f t="shared" si="92"/>
        <v>8599.9415285451214</v>
      </c>
      <c r="AG65" s="204">
        <f t="shared" si="92"/>
        <v>8832.2319521178651</v>
      </c>
      <c r="AH65" s="204">
        <f t="shared" si="92"/>
        <v>9064.5223756906089</v>
      </c>
      <c r="AI65" s="204">
        <f t="shared" si="92"/>
        <v>9296.8127992633526</v>
      </c>
      <c r="AJ65" s="204">
        <f t="shared" si="92"/>
        <v>9529.1032228360964</v>
      </c>
      <c r="AK65" s="204">
        <f t="shared" si="92"/>
        <v>9761.3936464088401</v>
      </c>
      <c r="AL65" s="204">
        <f t="shared" si="92"/>
        <v>9993.6840699815857</v>
      </c>
      <c r="AM65" s="204">
        <f t="shared" si="92"/>
        <v>10225.974493554329</v>
      </c>
      <c r="AN65" s="204">
        <f t="shared" si="92"/>
        <v>10458.264917127073</v>
      </c>
      <c r="AO65" s="204">
        <f t="shared" si="92"/>
        <v>10690.555340699817</v>
      </c>
      <c r="AP65" s="204">
        <f t="shared" si="92"/>
        <v>10922.845764272561</v>
      </c>
      <c r="AQ65" s="204">
        <f t="shared" si="92"/>
        <v>11155.136187845306</v>
      </c>
      <c r="AR65" s="204">
        <f t="shared" si="92"/>
        <v>11387.42661141805</v>
      </c>
      <c r="AS65" s="204">
        <f t="shared" si="92"/>
        <v>11619.717034990794</v>
      </c>
      <c r="AT65" s="204">
        <f t="shared" si="92"/>
        <v>11852.007458563538</v>
      </c>
      <c r="AU65" s="204">
        <f t="shared" si="92"/>
        <v>12084.297882136281</v>
      </c>
      <c r="AV65" s="204">
        <f t="shared" si="92"/>
        <v>12316.588305709025</v>
      </c>
      <c r="AW65" s="204">
        <f t="shared" si="92"/>
        <v>12548.878729281769</v>
      </c>
      <c r="AX65" s="204">
        <f t="shared" si="92"/>
        <v>12781.169152854514</v>
      </c>
      <c r="AY65" s="204">
        <f t="shared" si="92"/>
        <v>13013.459576427258</v>
      </c>
      <c r="AZ65" s="204">
        <f t="shared" si="92"/>
        <v>13245.750000000002</v>
      </c>
      <c r="BA65" s="204">
        <f t="shared" si="92"/>
        <v>13478.040423572747</v>
      </c>
      <c r="BB65" s="204">
        <f t="shared" si="92"/>
        <v>13710.330847145491</v>
      </c>
      <c r="BC65" s="204">
        <f t="shared" si="92"/>
        <v>13942.621270718235</v>
      </c>
      <c r="BD65" s="204">
        <f t="shared" si="92"/>
        <v>14174.911694290979</v>
      </c>
      <c r="BE65" s="204">
        <f t="shared" si="92"/>
        <v>14407.202117863722</v>
      </c>
      <c r="BF65" s="204">
        <f t="shared" si="92"/>
        <v>14639.492541436466</v>
      </c>
      <c r="BG65" s="204">
        <f t="shared" si="92"/>
        <v>14871.78296500921</v>
      </c>
      <c r="BH65" s="204">
        <f t="shared" si="92"/>
        <v>15104.073388581954</v>
      </c>
      <c r="BI65" s="204">
        <f t="shared" si="92"/>
        <v>15336.363812154699</v>
      </c>
      <c r="BJ65" s="204">
        <f t="shared" si="92"/>
        <v>15568.654235727443</v>
      </c>
      <c r="BK65" s="204">
        <f t="shared" si="92"/>
        <v>15800.944659300189</v>
      </c>
      <c r="BL65" s="204">
        <f t="shared" si="92"/>
        <v>16033.235082872932</v>
      </c>
      <c r="BM65" s="204">
        <f t="shared" si="92"/>
        <v>16265.525506445676</v>
      </c>
      <c r="BN65" s="204">
        <f t="shared" si="92"/>
        <v>16021.596402415526</v>
      </c>
      <c r="BO65" s="204">
        <f t="shared" si="92"/>
        <v>15301.447770782477</v>
      </c>
      <c r="BP65" s="204">
        <f t="shared" si="92"/>
        <v>14581.299139149432</v>
      </c>
      <c r="BQ65" s="204">
        <f t="shared" si="92"/>
        <v>13861.150507516384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13141.001875883339</v>
      </c>
      <c r="BS65" s="204">
        <f t="shared" si="93"/>
        <v>12420.853244250291</v>
      </c>
      <c r="BT65" s="204">
        <f t="shared" si="93"/>
        <v>11700.704612617246</v>
      </c>
      <c r="BU65" s="204">
        <f t="shared" si="93"/>
        <v>10980.555980984198</v>
      </c>
      <c r="BV65" s="204">
        <f t="shared" si="93"/>
        <v>10260.407349351153</v>
      </c>
      <c r="BW65" s="204">
        <f t="shared" si="93"/>
        <v>9540.2587177181049</v>
      </c>
      <c r="BX65" s="204">
        <f t="shared" si="93"/>
        <v>8820.1100860850602</v>
      </c>
      <c r="BY65" s="204">
        <f t="shared" si="93"/>
        <v>8099.9614544520136</v>
      </c>
      <c r="BZ65" s="204">
        <f t="shared" si="93"/>
        <v>7379.8128228189653</v>
      </c>
      <c r="CA65" s="204">
        <f t="shared" si="93"/>
        <v>6659.6641911859206</v>
      </c>
      <c r="CB65" s="204">
        <f t="shared" si="93"/>
        <v>5939.5155595528722</v>
      </c>
      <c r="CC65" s="204">
        <f t="shared" si="93"/>
        <v>5219.3669279198275</v>
      </c>
      <c r="CD65" s="204">
        <f t="shared" si="93"/>
        <v>4499.2182962867792</v>
      </c>
      <c r="CE65" s="204">
        <f t="shared" si="93"/>
        <v>3779.0696646537344</v>
      </c>
      <c r="CF65" s="204">
        <f t="shared" si="93"/>
        <v>3058.9210330206861</v>
      </c>
      <c r="CG65" s="204">
        <f t="shared" si="93"/>
        <v>2338.7724013876414</v>
      </c>
      <c r="CH65" s="204">
        <f t="shared" si="93"/>
        <v>1618.623769754593</v>
      </c>
      <c r="CI65" s="204">
        <f t="shared" si="93"/>
        <v>898.4751381215483</v>
      </c>
      <c r="CJ65" s="204">
        <f t="shared" si="93"/>
        <v>834.29834254143657</v>
      </c>
      <c r="CK65" s="204">
        <f t="shared" si="93"/>
        <v>770.12154696132598</v>
      </c>
      <c r="CL65" s="204">
        <f t="shared" si="93"/>
        <v>705.9447513812155</v>
      </c>
      <c r="CM65" s="204">
        <f t="shared" si="93"/>
        <v>641.76795580110502</v>
      </c>
      <c r="CN65" s="204">
        <f t="shared" si="93"/>
        <v>577.59116022099454</v>
      </c>
      <c r="CO65" s="204">
        <f t="shared" si="93"/>
        <v>513.41436464088406</v>
      </c>
      <c r="CP65" s="204">
        <f t="shared" si="93"/>
        <v>449.23756906077347</v>
      </c>
      <c r="CQ65" s="204">
        <f t="shared" si="93"/>
        <v>385.06077348066299</v>
      </c>
      <c r="CR65" s="204">
        <f t="shared" si="93"/>
        <v>320.88397790055251</v>
      </c>
      <c r="CS65" s="204">
        <f t="shared" si="93"/>
        <v>256.70718232044203</v>
      </c>
      <c r="CT65" s="204">
        <f t="shared" si="93"/>
        <v>192.53038674033144</v>
      </c>
      <c r="CU65" s="204">
        <f t="shared" si="93"/>
        <v>128.35359116022096</v>
      </c>
      <c r="CV65" s="204">
        <f t="shared" si="93"/>
        <v>64.176795580110479</v>
      </c>
      <c r="CW65" s="204">
        <f t="shared" si="93"/>
        <v>-1.1368683772161603E-13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233.33333333333334</v>
      </c>
      <c r="AE66" s="204">
        <f t="shared" si="94"/>
        <v>700</v>
      </c>
      <c r="AF66" s="204">
        <f t="shared" si="94"/>
        <v>1166.6666666666667</v>
      </c>
      <c r="AG66" s="204">
        <f t="shared" si="94"/>
        <v>1633.3333333333335</v>
      </c>
      <c r="AH66" s="204">
        <f t="shared" si="94"/>
        <v>2100</v>
      </c>
      <c r="AI66" s="204">
        <f t="shared" si="94"/>
        <v>2566.666666666667</v>
      </c>
      <c r="AJ66" s="204">
        <f t="shared" si="94"/>
        <v>3033.3333333333335</v>
      </c>
      <c r="AK66" s="204">
        <f t="shared" si="94"/>
        <v>3500</v>
      </c>
      <c r="AL66" s="204">
        <f t="shared" si="94"/>
        <v>3966.666666666667</v>
      </c>
      <c r="AM66" s="204">
        <f t="shared" si="94"/>
        <v>4433.3333333333339</v>
      </c>
      <c r="AN66" s="204">
        <f t="shared" si="94"/>
        <v>4900</v>
      </c>
      <c r="AO66" s="204">
        <f t="shared" si="94"/>
        <v>5366.666666666667</v>
      </c>
      <c r="AP66" s="204">
        <f t="shared" si="94"/>
        <v>5833.3333333333339</v>
      </c>
      <c r="AQ66" s="204">
        <f t="shared" si="94"/>
        <v>6300</v>
      </c>
      <c r="AR66" s="204">
        <f t="shared" si="94"/>
        <v>6766.666666666667</v>
      </c>
      <c r="AS66" s="204">
        <f t="shared" si="94"/>
        <v>7233.3333333333339</v>
      </c>
      <c r="AT66" s="204">
        <f t="shared" si="94"/>
        <v>7700</v>
      </c>
      <c r="AU66" s="204">
        <f t="shared" si="94"/>
        <v>8166.666666666667</v>
      </c>
      <c r="AV66" s="204">
        <f t="shared" si="94"/>
        <v>8633.3333333333339</v>
      </c>
      <c r="AW66" s="204">
        <f t="shared" si="94"/>
        <v>9100</v>
      </c>
      <c r="AX66" s="204">
        <f t="shared" si="94"/>
        <v>9566.6666666666679</v>
      </c>
      <c r="AY66" s="204">
        <f t="shared" si="94"/>
        <v>10033.333333333334</v>
      </c>
      <c r="AZ66" s="204">
        <f t="shared" si="94"/>
        <v>10500</v>
      </c>
      <c r="BA66" s="204">
        <f t="shared" si="94"/>
        <v>10966.666666666668</v>
      </c>
      <c r="BB66" s="204">
        <f t="shared" si="94"/>
        <v>11433.333333333334</v>
      </c>
      <c r="BC66" s="204">
        <f t="shared" si="94"/>
        <v>11900</v>
      </c>
      <c r="BD66" s="204">
        <f t="shared" si="94"/>
        <v>12366.666666666668</v>
      </c>
      <c r="BE66" s="204">
        <f t="shared" si="94"/>
        <v>12833.333333333334</v>
      </c>
      <c r="BF66" s="204">
        <f t="shared" si="94"/>
        <v>13300</v>
      </c>
      <c r="BG66" s="204">
        <f t="shared" si="94"/>
        <v>13766.666666666668</v>
      </c>
      <c r="BH66" s="204">
        <f t="shared" si="94"/>
        <v>14233.333333333334</v>
      </c>
      <c r="BI66" s="204">
        <f t="shared" si="94"/>
        <v>14700</v>
      </c>
      <c r="BJ66" s="204">
        <f t="shared" si="94"/>
        <v>15166.666666666668</v>
      </c>
      <c r="BK66" s="204">
        <f t="shared" si="94"/>
        <v>15633.333333333334</v>
      </c>
      <c r="BL66" s="204">
        <f t="shared" si="94"/>
        <v>16100</v>
      </c>
      <c r="BM66" s="204">
        <f t="shared" si="94"/>
        <v>16566.666666666668</v>
      </c>
      <c r="BN66" s="204">
        <f t="shared" si="94"/>
        <v>18128.372093023256</v>
      </c>
      <c r="BO66" s="204">
        <f t="shared" si="94"/>
        <v>20785.116279069767</v>
      </c>
      <c r="BP66" s="204">
        <f t="shared" si="94"/>
        <v>23441.860465116279</v>
      </c>
      <c r="BQ66" s="204">
        <f t="shared" si="94"/>
        <v>26098.60465116279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28755.348837209302</v>
      </c>
      <c r="BS66" s="204">
        <f t="shared" si="95"/>
        <v>31412.093023255813</v>
      </c>
      <c r="BT66" s="204">
        <f t="shared" si="95"/>
        <v>34068.837209302321</v>
      </c>
      <c r="BU66" s="204">
        <f t="shared" si="95"/>
        <v>36725.58139534884</v>
      </c>
      <c r="BV66" s="204">
        <f t="shared" si="95"/>
        <v>39382.325581395344</v>
      </c>
      <c r="BW66" s="204">
        <f t="shared" si="95"/>
        <v>42039.069767441862</v>
      </c>
      <c r="BX66" s="204">
        <f t="shared" si="95"/>
        <v>44695.813953488367</v>
      </c>
      <c r="BY66" s="204">
        <f t="shared" si="95"/>
        <v>47352.558139534885</v>
      </c>
      <c r="BZ66" s="204">
        <f t="shared" si="95"/>
        <v>50009.30232558139</v>
      </c>
      <c r="CA66" s="204">
        <f t="shared" si="95"/>
        <v>52666.046511627908</v>
      </c>
      <c r="CB66" s="204">
        <f t="shared" si="95"/>
        <v>55322.790697674413</v>
      </c>
      <c r="CC66" s="204">
        <f t="shared" si="95"/>
        <v>57979.534883720931</v>
      </c>
      <c r="CD66" s="204">
        <f t="shared" si="95"/>
        <v>60636.279069767435</v>
      </c>
      <c r="CE66" s="204">
        <f t="shared" si="95"/>
        <v>63293.023255813954</v>
      </c>
      <c r="CF66" s="204">
        <f t="shared" si="95"/>
        <v>65949.767441860458</v>
      </c>
      <c r="CG66" s="204">
        <f t="shared" si="95"/>
        <v>68606.511627906977</v>
      </c>
      <c r="CH66" s="204">
        <f t="shared" si="95"/>
        <v>71263.255813953481</v>
      </c>
      <c r="CI66" s="204">
        <f t="shared" si="95"/>
        <v>73920</v>
      </c>
      <c r="CJ66" s="204">
        <f t="shared" si="95"/>
        <v>82080</v>
      </c>
      <c r="CK66" s="204">
        <f t="shared" si="95"/>
        <v>90240</v>
      </c>
      <c r="CL66" s="204">
        <f t="shared" si="95"/>
        <v>98400</v>
      </c>
      <c r="CM66" s="204">
        <f t="shared" si="95"/>
        <v>106560</v>
      </c>
      <c r="CN66" s="204">
        <f t="shared" si="95"/>
        <v>114720</v>
      </c>
      <c r="CO66" s="204">
        <f t="shared" si="95"/>
        <v>122880</v>
      </c>
      <c r="CP66" s="204">
        <f t="shared" si="95"/>
        <v>131040</v>
      </c>
      <c r="CQ66" s="204">
        <f t="shared" si="95"/>
        <v>139200</v>
      </c>
      <c r="CR66" s="204">
        <f t="shared" si="95"/>
        <v>147360</v>
      </c>
      <c r="CS66" s="204">
        <f t="shared" si="95"/>
        <v>155520</v>
      </c>
      <c r="CT66" s="204">
        <f t="shared" si="95"/>
        <v>163680</v>
      </c>
      <c r="CU66" s="204">
        <f t="shared" si="95"/>
        <v>171840</v>
      </c>
      <c r="CV66" s="204">
        <f t="shared" si="95"/>
        <v>180000</v>
      </c>
      <c r="CW66" s="204">
        <f t="shared" si="95"/>
        <v>188160</v>
      </c>
      <c r="CX66" s="204">
        <f t="shared" si="95"/>
        <v>190831.7</v>
      </c>
      <c r="CY66" s="204">
        <f t="shared" si="95"/>
        <v>193503.4</v>
      </c>
      <c r="CZ66" s="204">
        <f t="shared" si="95"/>
        <v>196175.1</v>
      </c>
      <c r="DA66" s="204">
        <f t="shared" si="95"/>
        <v>198846.8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5145.0000000000009</v>
      </c>
      <c r="G67" s="204">
        <f t="shared" si="96"/>
        <v>5145.0000000000009</v>
      </c>
      <c r="H67" s="204">
        <f t="shared" si="96"/>
        <v>5145.0000000000009</v>
      </c>
      <c r="I67" s="204">
        <f t="shared" si="96"/>
        <v>5145.0000000000009</v>
      </c>
      <c r="J67" s="204">
        <f t="shared" si="96"/>
        <v>5145.0000000000009</v>
      </c>
      <c r="K67" s="204">
        <f t="shared" si="96"/>
        <v>5145.0000000000009</v>
      </c>
      <c r="L67" s="204">
        <f t="shared" si="88"/>
        <v>5145.0000000000009</v>
      </c>
      <c r="M67" s="204">
        <f t="shared" si="96"/>
        <v>5145.0000000000009</v>
      </c>
      <c r="N67" s="204">
        <f t="shared" si="96"/>
        <v>5145.0000000000009</v>
      </c>
      <c r="O67" s="204">
        <f t="shared" si="96"/>
        <v>5145.0000000000009</v>
      </c>
      <c r="P67" s="204">
        <f t="shared" si="96"/>
        <v>5145.0000000000009</v>
      </c>
      <c r="Q67" s="204">
        <f t="shared" si="96"/>
        <v>5145.0000000000009</v>
      </c>
      <c r="R67" s="204">
        <f t="shared" si="96"/>
        <v>5145.0000000000009</v>
      </c>
      <c r="S67" s="204">
        <f t="shared" si="96"/>
        <v>5145.0000000000009</v>
      </c>
      <c r="T67" s="204">
        <f t="shared" si="96"/>
        <v>5145.0000000000009</v>
      </c>
      <c r="U67" s="204">
        <f t="shared" si="96"/>
        <v>5145.0000000000009</v>
      </c>
      <c r="V67" s="204">
        <f t="shared" si="96"/>
        <v>5145.0000000000009</v>
      </c>
      <c r="W67" s="204">
        <f t="shared" si="96"/>
        <v>5145.0000000000009</v>
      </c>
      <c r="X67" s="204">
        <f t="shared" si="96"/>
        <v>5145.0000000000009</v>
      </c>
      <c r="Y67" s="204">
        <f t="shared" si="96"/>
        <v>5145.0000000000009</v>
      </c>
      <c r="Z67" s="204">
        <f t="shared" si="96"/>
        <v>5145.0000000000009</v>
      </c>
      <c r="AA67" s="204">
        <f t="shared" si="96"/>
        <v>5145.0000000000009</v>
      </c>
      <c r="AB67" s="204">
        <f t="shared" si="96"/>
        <v>5145.0000000000009</v>
      </c>
      <c r="AC67" s="204">
        <f t="shared" si="96"/>
        <v>5145.0000000000009</v>
      </c>
      <c r="AD67" s="204">
        <f t="shared" si="96"/>
        <v>5173.4083333333347</v>
      </c>
      <c r="AE67" s="204">
        <f t="shared" si="96"/>
        <v>5230.2250000000013</v>
      </c>
      <c r="AF67" s="204">
        <f t="shared" si="96"/>
        <v>5287.0416666666679</v>
      </c>
      <c r="AG67" s="204">
        <f t="shared" si="96"/>
        <v>5343.8583333333345</v>
      </c>
      <c r="AH67" s="204">
        <f t="shared" si="96"/>
        <v>5400.6750000000011</v>
      </c>
      <c r="AI67" s="204">
        <f t="shared" si="96"/>
        <v>5457.4916666666677</v>
      </c>
      <c r="AJ67" s="204">
        <f t="shared" si="96"/>
        <v>5514.3083333333343</v>
      </c>
      <c r="AK67" s="204">
        <f t="shared" si="96"/>
        <v>5571.1250000000009</v>
      </c>
      <c r="AL67" s="204">
        <f t="shared" si="96"/>
        <v>5627.9416666666675</v>
      </c>
      <c r="AM67" s="204">
        <f t="shared" si="96"/>
        <v>5684.7583333333341</v>
      </c>
      <c r="AN67" s="204">
        <f t="shared" si="96"/>
        <v>5741.5750000000007</v>
      </c>
      <c r="AO67" s="204">
        <f t="shared" si="96"/>
        <v>5798.3916666666682</v>
      </c>
      <c r="AP67" s="204">
        <f t="shared" si="96"/>
        <v>5855.2083333333348</v>
      </c>
      <c r="AQ67" s="204">
        <f t="shared" si="96"/>
        <v>5912.0250000000015</v>
      </c>
      <c r="AR67" s="204">
        <f t="shared" si="96"/>
        <v>5968.8416666666681</v>
      </c>
      <c r="AS67" s="204">
        <f t="shared" si="96"/>
        <v>6025.6583333333347</v>
      </c>
      <c r="AT67" s="204">
        <f t="shared" si="96"/>
        <v>6082.4750000000013</v>
      </c>
      <c r="AU67" s="204">
        <f t="shared" si="96"/>
        <v>6139.2916666666679</v>
      </c>
      <c r="AV67" s="204">
        <f t="shared" si="96"/>
        <v>6196.1083333333345</v>
      </c>
      <c r="AW67" s="204">
        <f t="shared" si="96"/>
        <v>6252.9250000000011</v>
      </c>
      <c r="AX67" s="204">
        <f t="shared" si="96"/>
        <v>6309.7416666666677</v>
      </c>
      <c r="AY67" s="204">
        <f t="shared" si="96"/>
        <v>6366.5583333333343</v>
      </c>
      <c r="AZ67" s="204">
        <f t="shared" si="96"/>
        <v>6423.3750000000018</v>
      </c>
      <c r="BA67" s="204">
        <f t="shared" si="96"/>
        <v>6480.1916666666675</v>
      </c>
      <c r="BB67" s="204">
        <f t="shared" si="96"/>
        <v>6537.008333333335</v>
      </c>
      <c r="BC67" s="204">
        <f t="shared" si="96"/>
        <v>6593.8250000000016</v>
      </c>
      <c r="BD67" s="204">
        <f t="shared" si="96"/>
        <v>6650.6416666666682</v>
      </c>
      <c r="BE67" s="204">
        <f t="shared" si="96"/>
        <v>6707.4583333333348</v>
      </c>
      <c r="BF67" s="204">
        <f t="shared" si="96"/>
        <v>6764.2750000000015</v>
      </c>
      <c r="BG67" s="204">
        <f t="shared" si="96"/>
        <v>6821.0916666666681</v>
      </c>
      <c r="BH67" s="204">
        <f t="shared" si="96"/>
        <v>6877.9083333333347</v>
      </c>
      <c r="BI67" s="204">
        <f t="shared" si="96"/>
        <v>6934.7250000000013</v>
      </c>
      <c r="BJ67" s="204">
        <f t="shared" si="96"/>
        <v>6991.5416666666679</v>
      </c>
      <c r="BK67" s="204">
        <f t="shared" si="96"/>
        <v>7048.3583333333354</v>
      </c>
      <c r="BL67" s="204">
        <f t="shared" si="96"/>
        <v>7105.1750000000011</v>
      </c>
      <c r="BM67" s="204">
        <f t="shared" si="96"/>
        <v>7161.9916666666686</v>
      </c>
      <c r="BN67" s="204">
        <f t="shared" si="96"/>
        <v>7201.3395348837221</v>
      </c>
      <c r="BO67" s="204">
        <f t="shared" si="96"/>
        <v>7223.2186046511642</v>
      </c>
      <c r="BP67" s="204">
        <f t="shared" si="96"/>
        <v>7245.0976744186064</v>
      </c>
      <c r="BQ67" s="204">
        <f t="shared" si="96"/>
        <v>7266.9767441860477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7288.8558139534898</v>
      </c>
      <c r="BS67" s="204">
        <f t="shared" si="97"/>
        <v>7310.734883720932</v>
      </c>
      <c r="BT67" s="204">
        <f t="shared" si="97"/>
        <v>7332.6139534883732</v>
      </c>
      <c r="BU67" s="204">
        <f t="shared" si="97"/>
        <v>7354.4930232558154</v>
      </c>
      <c r="BV67" s="204">
        <f t="shared" si="97"/>
        <v>7376.3720930232575</v>
      </c>
      <c r="BW67" s="204">
        <f t="shared" si="97"/>
        <v>7398.2511627906988</v>
      </c>
      <c r="BX67" s="204">
        <f t="shared" si="97"/>
        <v>7420.130232558141</v>
      </c>
      <c r="BY67" s="204">
        <f t="shared" si="97"/>
        <v>7442.0093023255831</v>
      </c>
      <c r="BZ67" s="204">
        <f t="shared" si="97"/>
        <v>7463.8883720930244</v>
      </c>
      <c r="CA67" s="204">
        <f t="shared" si="97"/>
        <v>7485.7674418604665</v>
      </c>
      <c r="CB67" s="204">
        <f t="shared" si="97"/>
        <v>7507.6465116279078</v>
      </c>
      <c r="CC67" s="204">
        <f t="shared" si="97"/>
        <v>7529.5255813953499</v>
      </c>
      <c r="CD67" s="204">
        <f t="shared" si="97"/>
        <v>7551.4046511627921</v>
      </c>
      <c r="CE67" s="204">
        <f t="shared" si="97"/>
        <v>7573.2837209302334</v>
      </c>
      <c r="CF67" s="204">
        <f t="shared" si="97"/>
        <v>7595.1627906976755</v>
      </c>
      <c r="CG67" s="204">
        <f t="shared" si="97"/>
        <v>7617.0418604651177</v>
      </c>
      <c r="CH67" s="204">
        <f t="shared" si="97"/>
        <v>7638.9209302325589</v>
      </c>
      <c r="CI67" s="204">
        <f t="shared" si="97"/>
        <v>7660.8000000000011</v>
      </c>
      <c r="CJ67" s="204">
        <f t="shared" si="97"/>
        <v>7113.6000000000013</v>
      </c>
      <c r="CK67" s="204">
        <f t="shared" si="97"/>
        <v>6566.4000000000015</v>
      </c>
      <c r="CL67" s="204">
        <f t="shared" si="97"/>
        <v>6019.2000000000007</v>
      </c>
      <c r="CM67" s="204">
        <f t="shared" si="97"/>
        <v>5472.0000000000009</v>
      </c>
      <c r="CN67" s="204">
        <f t="shared" si="97"/>
        <v>4924.8000000000011</v>
      </c>
      <c r="CO67" s="204">
        <f t="shared" si="97"/>
        <v>4377.6000000000004</v>
      </c>
      <c r="CP67" s="204">
        <f t="shared" si="97"/>
        <v>3830.4000000000005</v>
      </c>
      <c r="CQ67" s="204">
        <f t="shared" si="97"/>
        <v>3283.2000000000007</v>
      </c>
      <c r="CR67" s="204">
        <f t="shared" si="97"/>
        <v>2736.0000000000009</v>
      </c>
      <c r="CS67" s="204">
        <f t="shared" si="97"/>
        <v>2188.8000000000011</v>
      </c>
      <c r="CT67" s="204">
        <f t="shared" si="97"/>
        <v>1641.6000000000004</v>
      </c>
      <c r="CU67" s="204">
        <f t="shared" si="97"/>
        <v>1094.4000000000005</v>
      </c>
      <c r="CV67" s="204">
        <f t="shared" si="97"/>
        <v>547.20000000000073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14.933333333333337</v>
      </c>
      <c r="AE68" s="204">
        <f t="shared" si="98"/>
        <v>44.800000000000011</v>
      </c>
      <c r="AF68" s="204">
        <f t="shared" si="98"/>
        <v>74.666666666666686</v>
      </c>
      <c r="AG68" s="204">
        <f t="shared" si="98"/>
        <v>104.53333333333336</v>
      </c>
      <c r="AH68" s="204">
        <f t="shared" si="98"/>
        <v>134.40000000000003</v>
      </c>
      <c r="AI68" s="204">
        <f t="shared" si="98"/>
        <v>164.26666666666671</v>
      </c>
      <c r="AJ68" s="204">
        <f t="shared" si="98"/>
        <v>194.13333333333338</v>
      </c>
      <c r="AK68" s="204">
        <f t="shared" si="98"/>
        <v>224.00000000000006</v>
      </c>
      <c r="AL68" s="204">
        <f t="shared" si="98"/>
        <v>253.86666666666673</v>
      </c>
      <c r="AM68" s="204">
        <f t="shared" si="98"/>
        <v>283.73333333333341</v>
      </c>
      <c r="AN68" s="204">
        <f t="shared" si="98"/>
        <v>313.60000000000008</v>
      </c>
      <c r="AO68" s="204">
        <f t="shared" si="98"/>
        <v>343.46666666666675</v>
      </c>
      <c r="AP68" s="204">
        <f t="shared" si="98"/>
        <v>373.33333333333343</v>
      </c>
      <c r="AQ68" s="204">
        <f t="shared" si="98"/>
        <v>403.2000000000001</v>
      </c>
      <c r="AR68" s="204">
        <f t="shared" si="98"/>
        <v>433.06666666666678</v>
      </c>
      <c r="AS68" s="204">
        <f t="shared" si="98"/>
        <v>462.93333333333345</v>
      </c>
      <c r="AT68" s="204">
        <f t="shared" si="98"/>
        <v>492.80000000000013</v>
      </c>
      <c r="AU68" s="204">
        <f t="shared" si="98"/>
        <v>522.66666666666674</v>
      </c>
      <c r="AV68" s="204">
        <f t="shared" si="98"/>
        <v>552.53333333333353</v>
      </c>
      <c r="AW68" s="204">
        <f t="shared" si="98"/>
        <v>582.40000000000009</v>
      </c>
      <c r="AX68" s="204">
        <f t="shared" si="98"/>
        <v>612.26666666666688</v>
      </c>
      <c r="AY68" s="204">
        <f t="shared" si="98"/>
        <v>642.13333333333344</v>
      </c>
      <c r="AZ68" s="204">
        <f t="shared" si="98"/>
        <v>672.00000000000023</v>
      </c>
      <c r="BA68" s="204">
        <f t="shared" si="98"/>
        <v>701.86666666666679</v>
      </c>
      <c r="BB68" s="204">
        <f t="shared" si="98"/>
        <v>731.73333333333358</v>
      </c>
      <c r="BC68" s="204">
        <f t="shared" si="98"/>
        <v>761.60000000000014</v>
      </c>
      <c r="BD68" s="204">
        <f t="shared" si="98"/>
        <v>791.46666666666692</v>
      </c>
      <c r="BE68" s="204">
        <f t="shared" si="98"/>
        <v>821.33333333333348</v>
      </c>
      <c r="BF68" s="204">
        <f t="shared" si="98"/>
        <v>851.20000000000027</v>
      </c>
      <c r="BG68" s="204">
        <f t="shared" si="98"/>
        <v>881.06666666666683</v>
      </c>
      <c r="BH68" s="204">
        <f t="shared" si="98"/>
        <v>910.93333333333362</v>
      </c>
      <c r="BI68" s="204">
        <f t="shared" si="98"/>
        <v>940.80000000000018</v>
      </c>
      <c r="BJ68" s="204">
        <f t="shared" si="98"/>
        <v>970.66666666666697</v>
      </c>
      <c r="BK68" s="204">
        <f t="shared" si="98"/>
        <v>1000.5333333333335</v>
      </c>
      <c r="BL68" s="204">
        <f t="shared" si="98"/>
        <v>1030.4000000000003</v>
      </c>
      <c r="BM68" s="204">
        <f t="shared" si="98"/>
        <v>1060.2666666666669</v>
      </c>
      <c r="BN68" s="204">
        <f t="shared" si="98"/>
        <v>1050.1953488372096</v>
      </c>
      <c r="BO68" s="204">
        <f t="shared" si="98"/>
        <v>1000.1860465116282</v>
      </c>
      <c r="BP68" s="204">
        <f t="shared" si="98"/>
        <v>950.17674418604679</v>
      </c>
      <c r="BQ68" s="204">
        <f t="shared" si="98"/>
        <v>900.16744186046537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850.15813953488396</v>
      </c>
      <c r="BS68" s="204">
        <f t="shared" si="99"/>
        <v>800.14883720930254</v>
      </c>
      <c r="BT68" s="204">
        <f t="shared" si="99"/>
        <v>750.13953488372113</v>
      </c>
      <c r="BU68" s="204">
        <f t="shared" si="99"/>
        <v>700.13023255813971</v>
      </c>
      <c r="BV68" s="204">
        <f t="shared" si="99"/>
        <v>650.12093023255829</v>
      </c>
      <c r="BW68" s="204">
        <f t="shared" si="99"/>
        <v>600.11162790697688</v>
      </c>
      <c r="BX68" s="204">
        <f t="shared" si="99"/>
        <v>550.10232558139546</v>
      </c>
      <c r="BY68" s="204">
        <f t="shared" si="99"/>
        <v>500.09302325581405</v>
      </c>
      <c r="BZ68" s="204">
        <f t="shared" si="99"/>
        <v>450.08372093023263</v>
      </c>
      <c r="CA68" s="204">
        <f t="shared" si="99"/>
        <v>400.07441860465121</v>
      </c>
      <c r="CB68" s="204">
        <f t="shared" si="99"/>
        <v>350.0651162790698</v>
      </c>
      <c r="CC68" s="204">
        <f t="shared" si="99"/>
        <v>300.05581395348838</v>
      </c>
      <c r="CD68" s="204">
        <f t="shared" si="99"/>
        <v>250.04651162790708</v>
      </c>
      <c r="CE68" s="204">
        <f t="shared" si="99"/>
        <v>200.03720930232566</v>
      </c>
      <c r="CF68" s="204">
        <f t="shared" si="99"/>
        <v>150.02790697674425</v>
      </c>
      <c r="CG68" s="204">
        <f t="shared" si="99"/>
        <v>100.01860465116283</v>
      </c>
      <c r="CH68" s="204">
        <f t="shared" si="99"/>
        <v>50.009302325581302</v>
      </c>
      <c r="CI68" s="204">
        <f t="shared" si="99"/>
        <v>0</v>
      </c>
      <c r="CJ68" s="204">
        <f t="shared" si="99"/>
        <v>13440</v>
      </c>
      <c r="CK68" s="204">
        <f t="shared" si="99"/>
        <v>26880</v>
      </c>
      <c r="CL68" s="204">
        <f t="shared" si="99"/>
        <v>40320</v>
      </c>
      <c r="CM68" s="204">
        <f t="shared" si="99"/>
        <v>53760</v>
      </c>
      <c r="CN68" s="204">
        <f t="shared" si="99"/>
        <v>67200</v>
      </c>
      <c r="CO68" s="204">
        <f t="shared" si="99"/>
        <v>80640</v>
      </c>
      <c r="CP68" s="204">
        <f t="shared" si="99"/>
        <v>94080</v>
      </c>
      <c r="CQ68" s="204">
        <f t="shared" si="99"/>
        <v>107520</v>
      </c>
      <c r="CR68" s="204">
        <f t="shared" si="99"/>
        <v>120960</v>
      </c>
      <c r="CS68" s="204">
        <f t="shared" si="99"/>
        <v>134400</v>
      </c>
      <c r="CT68" s="204">
        <f t="shared" si="99"/>
        <v>147840</v>
      </c>
      <c r="CU68" s="204">
        <f t="shared" si="99"/>
        <v>161280</v>
      </c>
      <c r="CV68" s="204">
        <f t="shared" si="99"/>
        <v>174720</v>
      </c>
      <c r="CW68" s="204">
        <f t="shared" si="99"/>
        <v>188160</v>
      </c>
      <c r="CX68" s="204">
        <f t="shared" si="99"/>
        <v>194363.5</v>
      </c>
      <c r="CY68" s="204">
        <f t="shared" si="99"/>
        <v>200567</v>
      </c>
      <c r="CZ68" s="204">
        <f t="shared" si="99"/>
        <v>206770.5</v>
      </c>
      <c r="DA68" s="204">
        <f t="shared" si="99"/>
        <v>212974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85.763535911602219</v>
      </c>
      <c r="G69" s="204">
        <f t="shared" si="100"/>
        <v>85.763535911602219</v>
      </c>
      <c r="H69" s="204">
        <f t="shared" si="100"/>
        <v>85.763535911602219</v>
      </c>
      <c r="I69" s="204">
        <f t="shared" si="100"/>
        <v>85.763535911602219</v>
      </c>
      <c r="J69" s="204">
        <f t="shared" si="100"/>
        <v>85.763535911602219</v>
      </c>
      <c r="K69" s="204">
        <f t="shared" si="100"/>
        <v>85.763535911602219</v>
      </c>
      <c r="L69" s="204">
        <f t="shared" si="88"/>
        <v>85.763535911602219</v>
      </c>
      <c r="M69" s="204">
        <f t="shared" si="100"/>
        <v>85.763535911602219</v>
      </c>
      <c r="N69" s="204">
        <f t="shared" si="100"/>
        <v>85.763535911602219</v>
      </c>
      <c r="O69" s="204">
        <f t="shared" si="100"/>
        <v>85.763535911602219</v>
      </c>
      <c r="P69" s="204">
        <f t="shared" si="100"/>
        <v>85.763535911602219</v>
      </c>
      <c r="Q69" s="204">
        <f t="shared" si="100"/>
        <v>85.763535911602219</v>
      </c>
      <c r="R69" s="204">
        <f t="shared" si="100"/>
        <v>85.763535911602219</v>
      </c>
      <c r="S69" s="204">
        <f t="shared" si="100"/>
        <v>85.763535911602219</v>
      </c>
      <c r="T69" s="204">
        <f t="shared" si="100"/>
        <v>85.763535911602219</v>
      </c>
      <c r="U69" s="204">
        <f t="shared" si="100"/>
        <v>85.763535911602219</v>
      </c>
      <c r="V69" s="204">
        <f t="shared" si="100"/>
        <v>85.763535911602219</v>
      </c>
      <c r="W69" s="204">
        <f t="shared" si="100"/>
        <v>85.763535911602219</v>
      </c>
      <c r="X69" s="204">
        <f t="shared" si="100"/>
        <v>85.763535911602219</v>
      </c>
      <c r="Y69" s="204">
        <f t="shared" si="100"/>
        <v>85.763535911602219</v>
      </c>
      <c r="Z69" s="204">
        <f t="shared" si="100"/>
        <v>85.763535911602219</v>
      </c>
      <c r="AA69" s="204">
        <f t="shared" si="100"/>
        <v>85.763535911602219</v>
      </c>
      <c r="AB69" s="204">
        <f t="shared" si="100"/>
        <v>85.763535911602219</v>
      </c>
      <c r="AC69" s="204">
        <f t="shared" si="100"/>
        <v>85.763535911602219</v>
      </c>
      <c r="AD69" s="204">
        <f t="shared" si="100"/>
        <v>92.421496009489644</v>
      </c>
      <c r="AE69" s="204">
        <f t="shared" si="100"/>
        <v>105.73741620526449</v>
      </c>
      <c r="AF69" s="204">
        <f t="shared" si="100"/>
        <v>119.05333640103936</v>
      </c>
      <c r="AG69" s="204">
        <f t="shared" si="100"/>
        <v>132.36925659681421</v>
      </c>
      <c r="AH69" s="204">
        <f t="shared" si="100"/>
        <v>145.68517679258906</v>
      </c>
      <c r="AI69" s="204">
        <f t="shared" si="100"/>
        <v>159.00109698836391</v>
      </c>
      <c r="AJ69" s="204">
        <f t="shared" si="100"/>
        <v>172.31701718413876</v>
      </c>
      <c r="AK69" s="204">
        <f t="shared" si="100"/>
        <v>185.63293737991361</v>
      </c>
      <c r="AL69" s="204">
        <f t="shared" si="100"/>
        <v>198.94885757568846</v>
      </c>
      <c r="AM69" s="204">
        <f t="shared" si="100"/>
        <v>212.26477777146332</v>
      </c>
      <c r="AN69" s="204">
        <f t="shared" si="100"/>
        <v>225.58069796723817</v>
      </c>
      <c r="AO69" s="204">
        <f t="shared" si="100"/>
        <v>238.89661816301302</v>
      </c>
      <c r="AP69" s="204">
        <f t="shared" si="100"/>
        <v>252.21253835878787</v>
      </c>
      <c r="AQ69" s="204">
        <f t="shared" si="100"/>
        <v>265.52845855456269</v>
      </c>
      <c r="AR69" s="204">
        <f t="shared" si="100"/>
        <v>278.84437875033757</v>
      </c>
      <c r="AS69" s="204">
        <f t="shared" si="100"/>
        <v>292.16029894611245</v>
      </c>
      <c r="AT69" s="204">
        <f t="shared" si="100"/>
        <v>305.47621914188733</v>
      </c>
      <c r="AU69" s="204">
        <f t="shared" si="100"/>
        <v>318.79213933766215</v>
      </c>
      <c r="AV69" s="204">
        <f t="shared" si="100"/>
        <v>332.10805953343697</v>
      </c>
      <c r="AW69" s="204">
        <f t="shared" si="100"/>
        <v>345.42397972921185</v>
      </c>
      <c r="AX69" s="204">
        <f t="shared" si="100"/>
        <v>358.73989992498667</v>
      </c>
      <c r="AY69" s="204">
        <f t="shared" si="100"/>
        <v>372.05582012076155</v>
      </c>
      <c r="AZ69" s="204">
        <f t="shared" si="100"/>
        <v>385.37174031653637</v>
      </c>
      <c r="BA69" s="204">
        <f t="shared" si="100"/>
        <v>398.68766051231125</v>
      </c>
      <c r="BB69" s="204">
        <f t="shared" si="100"/>
        <v>412.00358070808613</v>
      </c>
      <c r="BC69" s="204">
        <f t="shared" si="100"/>
        <v>425.31950090386096</v>
      </c>
      <c r="BD69" s="204">
        <f t="shared" si="100"/>
        <v>438.63542109963583</v>
      </c>
      <c r="BE69" s="204">
        <f t="shared" si="100"/>
        <v>451.95134129541066</v>
      </c>
      <c r="BF69" s="204">
        <f t="shared" si="100"/>
        <v>465.26726149118554</v>
      </c>
      <c r="BG69" s="204">
        <f t="shared" si="100"/>
        <v>478.58318168696036</v>
      </c>
      <c r="BH69" s="204">
        <f t="shared" si="100"/>
        <v>491.89910188273524</v>
      </c>
      <c r="BI69" s="204">
        <f t="shared" si="100"/>
        <v>505.21502207851006</v>
      </c>
      <c r="BJ69" s="204">
        <f t="shared" si="100"/>
        <v>518.53094227428494</v>
      </c>
      <c r="BK69" s="204">
        <f t="shared" si="100"/>
        <v>531.8468624700597</v>
      </c>
      <c r="BL69" s="204">
        <f t="shared" si="100"/>
        <v>545.16278266583458</v>
      </c>
      <c r="BM69" s="204">
        <f t="shared" si="100"/>
        <v>558.47870286160946</v>
      </c>
      <c r="BN69" s="204">
        <f t="shared" si="100"/>
        <v>551.99394986741561</v>
      </c>
      <c r="BO69" s="204">
        <f t="shared" si="100"/>
        <v>525.70852368325291</v>
      </c>
      <c r="BP69" s="204">
        <f t="shared" si="100"/>
        <v>499.42309749909032</v>
      </c>
      <c r="BQ69" s="204">
        <f t="shared" si="100"/>
        <v>473.13767131492762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446.85224513076503</v>
      </c>
      <c r="BS69" s="204">
        <f t="shared" si="101"/>
        <v>420.56681894660233</v>
      </c>
      <c r="BT69" s="204">
        <f t="shared" si="101"/>
        <v>394.28139276243974</v>
      </c>
      <c r="BU69" s="204">
        <f t="shared" si="101"/>
        <v>367.99596657827703</v>
      </c>
      <c r="BV69" s="204">
        <f t="shared" si="101"/>
        <v>341.71054039411445</v>
      </c>
      <c r="BW69" s="204">
        <f t="shared" si="101"/>
        <v>315.42511420995174</v>
      </c>
      <c r="BX69" s="204">
        <f t="shared" si="101"/>
        <v>289.13968802578916</v>
      </c>
      <c r="BY69" s="204">
        <f t="shared" si="101"/>
        <v>262.85426184162645</v>
      </c>
      <c r="BZ69" s="204">
        <f t="shared" si="101"/>
        <v>236.56883565746386</v>
      </c>
      <c r="CA69" s="204">
        <f t="shared" si="101"/>
        <v>210.28340947330116</v>
      </c>
      <c r="CB69" s="204">
        <f t="shared" si="101"/>
        <v>183.99798328913857</v>
      </c>
      <c r="CC69" s="204">
        <f t="shared" si="101"/>
        <v>157.71255710497587</v>
      </c>
      <c r="CD69" s="204">
        <f t="shared" si="101"/>
        <v>131.42713092081328</v>
      </c>
      <c r="CE69" s="204">
        <f t="shared" si="101"/>
        <v>105.14170473665058</v>
      </c>
      <c r="CF69" s="204">
        <f t="shared" si="101"/>
        <v>78.856278552487993</v>
      </c>
      <c r="CG69" s="204">
        <f t="shared" si="101"/>
        <v>52.570852368325291</v>
      </c>
      <c r="CH69" s="204">
        <f t="shared" si="101"/>
        <v>26.285426184162702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21051.290909090912</v>
      </c>
      <c r="G70" s="204">
        <f t="shared" si="100"/>
        <v>21051.290909090912</v>
      </c>
      <c r="H70" s="204">
        <f t="shared" si="100"/>
        <v>21051.290909090912</v>
      </c>
      <c r="I70" s="204">
        <f t="shared" si="100"/>
        <v>21051.290909090912</v>
      </c>
      <c r="J70" s="204">
        <f t="shared" si="100"/>
        <v>21051.290909090912</v>
      </c>
      <c r="K70" s="204">
        <f t="shared" si="100"/>
        <v>21051.290909090912</v>
      </c>
      <c r="L70" s="204">
        <f t="shared" si="100"/>
        <v>21051.290909090912</v>
      </c>
      <c r="M70" s="204">
        <f t="shared" si="100"/>
        <v>21051.290909090912</v>
      </c>
      <c r="N70" s="204">
        <f t="shared" si="100"/>
        <v>21051.290909090912</v>
      </c>
      <c r="O70" s="204">
        <f t="shared" si="100"/>
        <v>21051.290909090912</v>
      </c>
      <c r="P70" s="204">
        <f t="shared" si="100"/>
        <v>21051.290909090912</v>
      </c>
      <c r="Q70" s="204">
        <f t="shared" si="100"/>
        <v>21051.290909090912</v>
      </c>
      <c r="R70" s="204">
        <f t="shared" si="100"/>
        <v>21051.290909090912</v>
      </c>
      <c r="S70" s="204">
        <f t="shared" si="100"/>
        <v>21051.290909090912</v>
      </c>
      <c r="T70" s="204">
        <f t="shared" si="100"/>
        <v>21051.290909090912</v>
      </c>
      <c r="U70" s="204">
        <f t="shared" si="100"/>
        <v>21051.290909090912</v>
      </c>
      <c r="V70" s="204">
        <f t="shared" si="100"/>
        <v>21051.290909090912</v>
      </c>
      <c r="W70" s="204">
        <f t="shared" si="100"/>
        <v>21051.290909090912</v>
      </c>
      <c r="X70" s="204">
        <f t="shared" si="100"/>
        <v>21051.290909090912</v>
      </c>
      <c r="Y70" s="204">
        <f t="shared" si="100"/>
        <v>21051.290909090912</v>
      </c>
      <c r="Z70" s="204">
        <f t="shared" si="100"/>
        <v>21051.290909090912</v>
      </c>
      <c r="AA70" s="204">
        <f t="shared" si="100"/>
        <v>21051.290909090912</v>
      </c>
      <c r="AB70" s="204">
        <f t="shared" si="100"/>
        <v>21051.290909090912</v>
      </c>
      <c r="AC70" s="204">
        <f t="shared" si="100"/>
        <v>21051.290909090912</v>
      </c>
      <c r="AD70" s="204">
        <f t="shared" si="100"/>
        <v>21069.018939393944</v>
      </c>
      <c r="AE70" s="204">
        <f t="shared" si="100"/>
        <v>21104.475000000002</v>
      </c>
      <c r="AF70" s="204">
        <f t="shared" si="100"/>
        <v>21139.931060606064</v>
      </c>
      <c r="AG70" s="204">
        <f t="shared" si="100"/>
        <v>21175.387121212123</v>
      </c>
      <c r="AH70" s="204">
        <f t="shared" si="100"/>
        <v>21210.843181818185</v>
      </c>
      <c r="AI70" s="204">
        <f t="shared" si="100"/>
        <v>21246.299242424247</v>
      </c>
      <c r="AJ70" s="204">
        <f t="shared" si="100"/>
        <v>21281.755303030306</v>
      </c>
      <c r="AK70" s="204">
        <f t="shared" si="100"/>
        <v>21317.211363636368</v>
      </c>
      <c r="AL70" s="204">
        <f t="shared" si="100"/>
        <v>21352.667424242427</v>
      </c>
      <c r="AM70" s="204">
        <f t="shared" si="100"/>
        <v>21388.123484848489</v>
      </c>
      <c r="AN70" s="204">
        <f t="shared" si="100"/>
        <v>21423.579545454548</v>
      </c>
      <c r="AO70" s="204">
        <f t="shared" si="100"/>
        <v>21459.03560606061</v>
      </c>
      <c r="AP70" s="204">
        <f t="shared" si="100"/>
        <v>21494.491666666669</v>
      </c>
      <c r="AQ70" s="204">
        <f t="shared" si="100"/>
        <v>21529.947727272731</v>
      </c>
      <c r="AR70" s="204">
        <f t="shared" si="100"/>
        <v>21565.403787878793</v>
      </c>
      <c r="AS70" s="204">
        <f t="shared" si="100"/>
        <v>21600.859848484852</v>
      </c>
      <c r="AT70" s="204">
        <f t="shared" si="100"/>
        <v>21636.315909090914</v>
      </c>
      <c r="AU70" s="204">
        <f t="shared" si="100"/>
        <v>21671.771969696973</v>
      </c>
      <c r="AV70" s="204">
        <f t="shared" si="100"/>
        <v>21707.228030303035</v>
      </c>
      <c r="AW70" s="204">
        <f t="shared" si="100"/>
        <v>21742.684090909093</v>
      </c>
      <c r="AX70" s="204">
        <f t="shared" si="100"/>
        <v>21778.140151515156</v>
      </c>
      <c r="AY70" s="204">
        <f t="shared" si="100"/>
        <v>21813.596212121214</v>
      </c>
      <c r="AZ70" s="204">
        <f t="shared" si="100"/>
        <v>21849.052272727276</v>
      </c>
      <c r="BA70" s="204">
        <f t="shared" si="100"/>
        <v>21884.508333333339</v>
      </c>
      <c r="BB70" s="204">
        <f t="shared" si="100"/>
        <v>21919.964393939397</v>
      </c>
      <c r="BC70" s="204">
        <f t="shared" si="100"/>
        <v>21955.42045454546</v>
      </c>
      <c r="BD70" s="204">
        <f t="shared" si="100"/>
        <v>21990.876515151518</v>
      </c>
      <c r="BE70" s="204">
        <f t="shared" si="100"/>
        <v>22026.33257575758</v>
      </c>
      <c r="BF70" s="204">
        <f t="shared" si="100"/>
        <v>22061.788636363639</v>
      </c>
      <c r="BG70" s="204">
        <f t="shared" si="100"/>
        <v>22097.244696969701</v>
      </c>
      <c r="BH70" s="204">
        <f t="shared" si="100"/>
        <v>22132.70075757576</v>
      </c>
      <c r="BI70" s="204">
        <f t="shared" si="100"/>
        <v>22168.156818181822</v>
      </c>
      <c r="BJ70" s="204">
        <f t="shared" si="100"/>
        <v>22203.612878787884</v>
      </c>
      <c r="BK70" s="204">
        <f t="shared" si="100"/>
        <v>22239.068939393943</v>
      </c>
      <c r="BL70" s="204">
        <f t="shared" si="100"/>
        <v>22274.525000000005</v>
      </c>
      <c r="BM70" s="204">
        <f t="shared" si="100"/>
        <v>22309.981060606064</v>
      </c>
      <c r="BN70" s="204">
        <f t="shared" si="100"/>
        <v>22014.677378435521</v>
      </c>
      <c r="BO70" s="204">
        <f t="shared" si="100"/>
        <v>21388.613953488377</v>
      </c>
      <c r="BP70" s="204">
        <f t="shared" si="100"/>
        <v>20762.550528541229</v>
      </c>
      <c r="BQ70" s="204">
        <f t="shared" si="100"/>
        <v>20136.487103594085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19510.423678646937</v>
      </c>
      <c r="BS70" s="204">
        <f t="shared" si="102"/>
        <v>18884.360253699793</v>
      </c>
      <c r="BT70" s="204">
        <f t="shared" si="102"/>
        <v>18258.296828752646</v>
      </c>
      <c r="BU70" s="204">
        <f t="shared" si="102"/>
        <v>17632.233403805501</v>
      </c>
      <c r="BV70" s="204">
        <f t="shared" si="102"/>
        <v>17006.169978858354</v>
      </c>
      <c r="BW70" s="204">
        <f t="shared" si="102"/>
        <v>16380.10655391121</v>
      </c>
      <c r="BX70" s="204">
        <f t="shared" si="102"/>
        <v>15754.043128964062</v>
      </c>
      <c r="BY70" s="204">
        <f t="shared" si="102"/>
        <v>15127.979704016918</v>
      </c>
      <c r="BZ70" s="204">
        <f t="shared" si="102"/>
        <v>14501.91627906977</v>
      </c>
      <c r="CA70" s="204">
        <f t="shared" si="102"/>
        <v>13875.852854122626</v>
      </c>
      <c r="CB70" s="204">
        <f t="shared" si="102"/>
        <v>13249.789429175478</v>
      </c>
      <c r="CC70" s="204">
        <f t="shared" si="102"/>
        <v>12623.726004228334</v>
      </c>
      <c r="CD70" s="204">
        <f t="shared" si="102"/>
        <v>11997.662579281186</v>
      </c>
      <c r="CE70" s="204">
        <f t="shared" si="102"/>
        <v>11371.599154334042</v>
      </c>
      <c r="CF70" s="204">
        <f t="shared" si="102"/>
        <v>10745.535729386895</v>
      </c>
      <c r="CG70" s="204">
        <f t="shared" si="102"/>
        <v>10119.472304439751</v>
      </c>
      <c r="CH70" s="204">
        <f t="shared" si="102"/>
        <v>9493.4088794926029</v>
      </c>
      <c r="CI70" s="204">
        <f t="shared" si="102"/>
        <v>8867.3454545454588</v>
      </c>
      <c r="CJ70" s="204">
        <f t="shared" si="102"/>
        <v>8972.9090909090937</v>
      </c>
      <c r="CK70" s="204">
        <f t="shared" si="102"/>
        <v>9078.4727272727305</v>
      </c>
      <c r="CL70" s="204">
        <f t="shared" si="102"/>
        <v>9184.0363636363654</v>
      </c>
      <c r="CM70" s="204">
        <f t="shared" si="102"/>
        <v>9289.6000000000022</v>
      </c>
      <c r="CN70" s="204">
        <f t="shared" si="102"/>
        <v>9395.1636363636389</v>
      </c>
      <c r="CO70" s="204">
        <f t="shared" si="102"/>
        <v>9500.7272727272757</v>
      </c>
      <c r="CP70" s="204">
        <f t="shared" si="102"/>
        <v>9606.2909090909125</v>
      </c>
      <c r="CQ70" s="204">
        <f t="shared" si="102"/>
        <v>9711.8545454545474</v>
      </c>
      <c r="CR70" s="204">
        <f t="shared" si="102"/>
        <v>9817.4181818181842</v>
      </c>
      <c r="CS70" s="204">
        <f t="shared" si="102"/>
        <v>9922.9818181818209</v>
      </c>
      <c r="CT70" s="204">
        <f t="shared" si="102"/>
        <v>10028.545454545458</v>
      </c>
      <c r="CU70" s="204">
        <f t="shared" si="102"/>
        <v>10134.109090909093</v>
      </c>
      <c r="CV70" s="204">
        <f t="shared" si="102"/>
        <v>10239.672727272729</v>
      </c>
      <c r="CW70" s="204">
        <f t="shared" si="102"/>
        <v>10345.236363636366</v>
      </c>
      <c r="CX70" s="204">
        <f t="shared" si="102"/>
        <v>9217.4063636363662</v>
      </c>
      <c r="CY70" s="204">
        <f t="shared" si="102"/>
        <v>8089.5763636363663</v>
      </c>
      <c r="CZ70" s="204">
        <f t="shared" si="102"/>
        <v>6961.7463636363664</v>
      </c>
      <c r="DA70" s="204">
        <f t="shared" si="102"/>
        <v>5833.9163636363664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74.666666666666671</v>
      </c>
      <c r="AE71" s="204">
        <f t="shared" si="103"/>
        <v>224</v>
      </c>
      <c r="AF71" s="204">
        <f t="shared" si="103"/>
        <v>373.33333333333337</v>
      </c>
      <c r="AG71" s="204">
        <f t="shared" si="103"/>
        <v>522.66666666666674</v>
      </c>
      <c r="AH71" s="204">
        <f t="shared" si="103"/>
        <v>672</v>
      </c>
      <c r="AI71" s="204">
        <f t="shared" si="103"/>
        <v>821.33333333333337</v>
      </c>
      <c r="AJ71" s="204">
        <f t="shared" si="103"/>
        <v>970.66666666666674</v>
      </c>
      <c r="AK71" s="204">
        <f t="shared" si="103"/>
        <v>1120</v>
      </c>
      <c r="AL71" s="204">
        <f t="shared" si="103"/>
        <v>1269.3333333333335</v>
      </c>
      <c r="AM71" s="204">
        <f t="shared" si="103"/>
        <v>1418.6666666666667</v>
      </c>
      <c r="AN71" s="204">
        <f t="shared" si="103"/>
        <v>1568</v>
      </c>
      <c r="AO71" s="204">
        <f t="shared" si="103"/>
        <v>1717.3333333333335</v>
      </c>
      <c r="AP71" s="204">
        <f t="shared" si="103"/>
        <v>1866.6666666666667</v>
      </c>
      <c r="AQ71" s="204">
        <f t="shared" si="103"/>
        <v>2016.0000000000002</v>
      </c>
      <c r="AR71" s="204">
        <f t="shared" si="103"/>
        <v>2165.3333333333335</v>
      </c>
      <c r="AS71" s="204">
        <f t="shared" si="103"/>
        <v>2314.666666666667</v>
      </c>
      <c r="AT71" s="204">
        <f t="shared" si="103"/>
        <v>2464</v>
      </c>
      <c r="AU71" s="204">
        <f t="shared" si="103"/>
        <v>2613.3333333333335</v>
      </c>
      <c r="AV71" s="204">
        <f t="shared" si="103"/>
        <v>2762.666666666667</v>
      </c>
      <c r="AW71" s="204">
        <f t="shared" si="103"/>
        <v>2912</v>
      </c>
      <c r="AX71" s="204">
        <f t="shared" si="103"/>
        <v>3061.3333333333335</v>
      </c>
      <c r="AY71" s="204">
        <f t="shared" si="103"/>
        <v>3210.666666666667</v>
      </c>
      <c r="AZ71" s="204">
        <f t="shared" si="103"/>
        <v>3360</v>
      </c>
      <c r="BA71" s="204">
        <f t="shared" si="103"/>
        <v>3509.3333333333335</v>
      </c>
      <c r="BB71" s="204">
        <f t="shared" si="103"/>
        <v>3658.666666666667</v>
      </c>
      <c r="BC71" s="204">
        <f t="shared" si="103"/>
        <v>3808.0000000000005</v>
      </c>
      <c r="BD71" s="204">
        <f t="shared" si="103"/>
        <v>3957.3333333333335</v>
      </c>
      <c r="BE71" s="204">
        <f t="shared" si="103"/>
        <v>4106.666666666667</v>
      </c>
      <c r="BF71" s="204">
        <f t="shared" si="103"/>
        <v>4256</v>
      </c>
      <c r="BG71" s="204">
        <f t="shared" si="103"/>
        <v>4405.3333333333339</v>
      </c>
      <c r="BH71" s="204">
        <f t="shared" si="103"/>
        <v>4554.666666666667</v>
      </c>
      <c r="BI71" s="204">
        <f t="shared" si="103"/>
        <v>4704</v>
      </c>
      <c r="BJ71" s="204">
        <f t="shared" si="103"/>
        <v>4853.3333333333339</v>
      </c>
      <c r="BK71" s="204">
        <f t="shared" si="103"/>
        <v>5002.666666666667</v>
      </c>
      <c r="BL71" s="204">
        <f t="shared" si="103"/>
        <v>5152</v>
      </c>
      <c r="BM71" s="204">
        <f t="shared" si="103"/>
        <v>5301.3333333333339</v>
      </c>
      <c r="BN71" s="204">
        <f t="shared" si="103"/>
        <v>5282.2325581395353</v>
      </c>
      <c r="BO71" s="204">
        <f t="shared" si="103"/>
        <v>5094.6976744186049</v>
      </c>
      <c r="BP71" s="204">
        <f t="shared" si="103"/>
        <v>4907.1627906976746</v>
      </c>
      <c r="BQ71" s="204">
        <f t="shared" si="103"/>
        <v>4719.6279069767443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4532.0930232558139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4344.5581395348836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4157.0232558139533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3969.4883720930234</v>
      </c>
      <c r="BV71" s="204">
        <f t="shared" si="104"/>
        <v>3781.953488372093</v>
      </c>
      <c r="BW71" s="204">
        <f t="shared" si="104"/>
        <v>3594.4186046511632</v>
      </c>
      <c r="BX71" s="204">
        <f t="shared" si="104"/>
        <v>3406.8837209302328</v>
      </c>
      <c r="BY71" s="204">
        <f t="shared" si="104"/>
        <v>3219.3488372093025</v>
      </c>
      <c r="BZ71" s="204">
        <f t="shared" si="104"/>
        <v>3031.8139534883721</v>
      </c>
      <c r="CA71" s="204">
        <f t="shared" si="104"/>
        <v>2844.2790697674418</v>
      </c>
      <c r="CB71" s="204">
        <f t="shared" si="104"/>
        <v>2656.7441860465119</v>
      </c>
      <c r="CC71" s="204">
        <f t="shared" si="104"/>
        <v>2469.2093023255816</v>
      </c>
      <c r="CD71" s="204">
        <f t="shared" si="104"/>
        <v>2281.6744186046512</v>
      </c>
      <c r="CE71" s="204">
        <f t="shared" si="104"/>
        <v>2094.1395348837209</v>
      </c>
      <c r="CF71" s="204">
        <f t="shared" si="104"/>
        <v>1906.604651162791</v>
      </c>
      <c r="CG71" s="204">
        <f t="shared" si="104"/>
        <v>1719.0697674418607</v>
      </c>
      <c r="CH71" s="204">
        <f t="shared" si="104"/>
        <v>1531.5348837209303</v>
      </c>
      <c r="CI71" s="204">
        <f t="shared" si="104"/>
        <v>1344</v>
      </c>
      <c r="CJ71" s="204">
        <f t="shared" si="104"/>
        <v>2592</v>
      </c>
      <c r="CK71" s="204">
        <f t="shared" si="104"/>
        <v>3840</v>
      </c>
      <c r="CL71" s="204">
        <f t="shared" si="104"/>
        <v>5088</v>
      </c>
      <c r="CM71" s="204">
        <f t="shared" si="104"/>
        <v>6336</v>
      </c>
      <c r="CN71" s="204">
        <f t="shared" si="104"/>
        <v>7584</v>
      </c>
      <c r="CO71" s="204">
        <f t="shared" si="104"/>
        <v>8832</v>
      </c>
      <c r="CP71" s="204">
        <f t="shared" si="104"/>
        <v>10080</v>
      </c>
      <c r="CQ71" s="204">
        <f t="shared" si="104"/>
        <v>11328</v>
      </c>
      <c r="CR71" s="204">
        <f t="shared" si="104"/>
        <v>12576</v>
      </c>
      <c r="CS71" s="204">
        <f t="shared" si="104"/>
        <v>13824</v>
      </c>
      <c r="CT71" s="204">
        <f t="shared" si="104"/>
        <v>15072</v>
      </c>
      <c r="CU71" s="204">
        <f t="shared" si="104"/>
        <v>16320</v>
      </c>
      <c r="CV71" s="204">
        <f t="shared" si="104"/>
        <v>17568</v>
      </c>
      <c r="CW71" s="204">
        <f t="shared" si="104"/>
        <v>18816</v>
      </c>
      <c r="CX71" s="204">
        <f t="shared" si="104"/>
        <v>19112.330000000002</v>
      </c>
      <c r="CY71" s="204">
        <f t="shared" si="104"/>
        <v>19408.66</v>
      </c>
      <c r="CZ71" s="204">
        <f t="shared" si="104"/>
        <v>19704.990000000002</v>
      </c>
      <c r="DA71" s="204">
        <f t="shared" si="104"/>
        <v>20001.32</v>
      </c>
    </row>
    <row r="72" spans="1:105" s="204" customFormat="1">
      <c r="A72" s="204" t="str">
        <f>Income!A88</f>
        <v>TOTAL</v>
      </c>
      <c r="F72" s="204">
        <f>SUM(F59:F71)</f>
        <v>46140.41121288354</v>
      </c>
      <c r="G72" s="204">
        <f t="shared" ref="G72:BR72" si="105">SUM(G59:G71)</f>
        <v>45800.151212883546</v>
      </c>
      <c r="H72" s="204">
        <f t="shared" si="105"/>
        <v>45459.891212883536</v>
      </c>
      <c r="I72" s="204">
        <f t="shared" si="105"/>
        <v>45119.631212883542</v>
      </c>
      <c r="J72" s="204">
        <f t="shared" si="105"/>
        <v>44779.37121288354</v>
      </c>
      <c r="K72" s="204">
        <f t="shared" si="105"/>
        <v>44439.111212883538</v>
      </c>
      <c r="L72" s="204">
        <f t="shared" si="105"/>
        <v>44098.851212883543</v>
      </c>
      <c r="M72" s="204">
        <f t="shared" si="105"/>
        <v>43758.591212883541</v>
      </c>
      <c r="N72" s="204">
        <f t="shared" si="105"/>
        <v>43418.331212883539</v>
      </c>
      <c r="O72" s="204">
        <f t="shared" si="105"/>
        <v>43078.071212883544</v>
      </c>
      <c r="P72" s="204">
        <f t="shared" si="105"/>
        <v>42737.811212883535</v>
      </c>
      <c r="Q72" s="204">
        <f t="shared" si="105"/>
        <v>42397.55121288354</v>
      </c>
      <c r="R72" s="204">
        <f t="shared" si="105"/>
        <v>42057.291212883545</v>
      </c>
      <c r="S72" s="204">
        <f t="shared" si="105"/>
        <v>41717.031212883543</v>
      </c>
      <c r="T72" s="204">
        <f t="shared" si="105"/>
        <v>41376.771212883541</v>
      </c>
      <c r="U72" s="204">
        <f t="shared" si="105"/>
        <v>41036.511212883546</v>
      </c>
      <c r="V72" s="204">
        <f t="shared" si="105"/>
        <v>40696.251212883537</v>
      </c>
      <c r="W72" s="204">
        <f t="shared" si="105"/>
        <v>40355.991212883542</v>
      </c>
      <c r="X72" s="204">
        <f t="shared" si="105"/>
        <v>40015.73121288354</v>
      </c>
      <c r="Y72" s="204">
        <f t="shared" si="105"/>
        <v>39675.471212883538</v>
      </c>
      <c r="Z72" s="204">
        <f t="shared" si="105"/>
        <v>39335.211212883543</v>
      </c>
      <c r="AA72" s="204">
        <f t="shared" si="105"/>
        <v>38994.951212883541</v>
      </c>
      <c r="AB72" s="204">
        <f t="shared" si="105"/>
        <v>38654.691212883539</v>
      </c>
      <c r="AC72" s="204">
        <f t="shared" si="105"/>
        <v>38314.431212883545</v>
      </c>
      <c r="AD72" s="204">
        <f t="shared" si="105"/>
        <v>38737.547280301435</v>
      </c>
      <c r="AE72" s="204">
        <f t="shared" si="105"/>
        <v>39924.039415137224</v>
      </c>
      <c r="AF72" s="204">
        <f t="shared" si="105"/>
        <v>41110.531549973013</v>
      </c>
      <c r="AG72" s="204">
        <f t="shared" si="105"/>
        <v>42297.023684808802</v>
      </c>
      <c r="AH72" s="204">
        <f t="shared" si="105"/>
        <v>43483.515819644585</v>
      </c>
      <c r="AI72" s="204">
        <f t="shared" si="105"/>
        <v>44670.007954480381</v>
      </c>
      <c r="AJ72" s="204">
        <f t="shared" si="105"/>
        <v>45856.500089316156</v>
      </c>
      <c r="AK72" s="204">
        <f t="shared" si="105"/>
        <v>47042.992224151953</v>
      </c>
      <c r="AL72" s="204">
        <f t="shared" si="105"/>
        <v>48229.484358987735</v>
      </c>
      <c r="AM72" s="204">
        <f t="shared" si="105"/>
        <v>49415.976493823524</v>
      </c>
      <c r="AN72" s="204">
        <f t="shared" si="105"/>
        <v>50602.468628659306</v>
      </c>
      <c r="AO72" s="204">
        <f t="shared" si="105"/>
        <v>51788.960763495103</v>
      </c>
      <c r="AP72" s="204">
        <f t="shared" si="105"/>
        <v>52975.452898330885</v>
      </c>
      <c r="AQ72" s="204">
        <f t="shared" si="105"/>
        <v>54161.945033166681</v>
      </c>
      <c r="AR72" s="204">
        <f t="shared" si="105"/>
        <v>55348.437168002471</v>
      </c>
      <c r="AS72" s="204">
        <f t="shared" si="105"/>
        <v>56534.929302838253</v>
      </c>
      <c r="AT72" s="204">
        <f t="shared" si="105"/>
        <v>57721.421437674042</v>
      </c>
      <c r="AU72" s="204">
        <f t="shared" si="105"/>
        <v>58907.913572509831</v>
      </c>
      <c r="AV72" s="204">
        <f t="shared" si="105"/>
        <v>60094.405707345613</v>
      </c>
      <c r="AW72" s="204">
        <f t="shared" si="105"/>
        <v>61280.897842181395</v>
      </c>
      <c r="AX72" s="204">
        <f t="shared" si="105"/>
        <v>62467.389977017192</v>
      </c>
      <c r="AY72" s="204">
        <f t="shared" si="105"/>
        <v>63653.882111852974</v>
      </c>
      <c r="AZ72" s="204">
        <f t="shared" si="105"/>
        <v>64840.374246688763</v>
      </c>
      <c r="BA72" s="204">
        <f t="shared" si="105"/>
        <v>66026.866381524553</v>
      </c>
      <c r="BB72" s="204">
        <f t="shared" si="105"/>
        <v>67213.358516360357</v>
      </c>
      <c r="BC72" s="204">
        <f t="shared" si="105"/>
        <v>68399.850651196131</v>
      </c>
      <c r="BD72" s="204">
        <f t="shared" si="105"/>
        <v>69586.342786031906</v>
      </c>
      <c r="BE72" s="204">
        <f t="shared" si="105"/>
        <v>70772.83492086771</v>
      </c>
      <c r="BF72" s="204">
        <f t="shared" si="105"/>
        <v>71959.327055703485</v>
      </c>
      <c r="BG72" s="204">
        <f t="shared" si="105"/>
        <v>73145.819190539274</v>
      </c>
      <c r="BH72" s="204">
        <f t="shared" si="105"/>
        <v>74332.311325375063</v>
      </c>
      <c r="BI72" s="204">
        <f t="shared" si="105"/>
        <v>75518.803460210853</v>
      </c>
      <c r="BJ72" s="204">
        <f t="shared" si="105"/>
        <v>76705.295595046642</v>
      </c>
      <c r="BK72" s="204">
        <f t="shared" si="105"/>
        <v>77891.787729882446</v>
      </c>
      <c r="BL72" s="204">
        <f t="shared" si="105"/>
        <v>79078.279864718221</v>
      </c>
      <c r="BM72" s="204">
        <f t="shared" si="105"/>
        <v>80264.771999554025</v>
      </c>
      <c r="BN72" s="204">
        <f t="shared" si="105"/>
        <v>81597.658694443468</v>
      </c>
      <c r="BO72" s="204">
        <f t="shared" si="105"/>
        <v>83076.939949386564</v>
      </c>
      <c r="BP72" s="204">
        <f t="shared" si="105"/>
        <v>84556.221204329689</v>
      </c>
      <c r="BQ72" s="204">
        <f t="shared" si="105"/>
        <v>86035.5024592728</v>
      </c>
      <c r="BR72" s="204">
        <f t="shared" si="105"/>
        <v>87514.783714215897</v>
      </c>
      <c r="BS72" s="204">
        <f t="shared" ref="BS72:DA72" si="106">SUM(BS59:BS71)</f>
        <v>88994.064969159022</v>
      </c>
      <c r="BT72" s="204">
        <f t="shared" si="106"/>
        <v>90473.346224102119</v>
      </c>
      <c r="BU72" s="204">
        <f t="shared" si="106"/>
        <v>91952.62747904523</v>
      </c>
      <c r="BV72" s="204">
        <f t="shared" si="106"/>
        <v>93431.908733988341</v>
      </c>
      <c r="BW72" s="204">
        <f t="shared" si="106"/>
        <v>94911.189988931452</v>
      </c>
      <c r="BX72" s="204">
        <f t="shared" si="106"/>
        <v>96390.471243874548</v>
      </c>
      <c r="BY72" s="204">
        <f t="shared" si="106"/>
        <v>97869.752498817688</v>
      </c>
      <c r="BZ72" s="204">
        <f t="shared" si="106"/>
        <v>99349.033753760799</v>
      </c>
      <c r="CA72" s="204">
        <f t="shared" si="106"/>
        <v>100828.3150087039</v>
      </c>
      <c r="CB72" s="204">
        <f t="shared" si="106"/>
        <v>102307.59626364702</v>
      </c>
      <c r="CC72" s="204">
        <f t="shared" si="106"/>
        <v>103786.87751859013</v>
      </c>
      <c r="CD72" s="204">
        <f t="shared" si="106"/>
        <v>105266.15877353324</v>
      </c>
      <c r="CE72" s="204">
        <f t="shared" si="106"/>
        <v>106745.44002847638</v>
      </c>
      <c r="CF72" s="204">
        <f t="shared" si="106"/>
        <v>108224.72128341945</v>
      </c>
      <c r="CG72" s="204">
        <f t="shared" si="106"/>
        <v>109704.00253836259</v>
      </c>
      <c r="CH72" s="204">
        <f t="shared" si="106"/>
        <v>111183.28379330567</v>
      </c>
      <c r="CI72" s="204">
        <f t="shared" si="106"/>
        <v>112662.5650482488</v>
      </c>
      <c r="CJ72" s="204">
        <f t="shared" si="106"/>
        <v>137330.65107290953</v>
      </c>
      <c r="CK72" s="204">
        <f t="shared" si="106"/>
        <v>161998.73709757024</v>
      </c>
      <c r="CL72" s="204">
        <f t="shared" si="106"/>
        <v>186666.823122231</v>
      </c>
      <c r="CM72" s="204">
        <f t="shared" si="106"/>
        <v>211334.90914689173</v>
      </c>
      <c r="CN72" s="204">
        <f t="shared" si="106"/>
        <v>236002.99517155244</v>
      </c>
      <c r="CO72" s="204">
        <f t="shared" si="106"/>
        <v>260671.0811962132</v>
      </c>
      <c r="CP72" s="204">
        <f t="shared" si="106"/>
        <v>285339.16722087387</v>
      </c>
      <c r="CQ72" s="204">
        <f t="shared" si="106"/>
        <v>310007.25324553467</v>
      </c>
      <c r="CR72" s="204">
        <f t="shared" si="106"/>
        <v>334675.3392701954</v>
      </c>
      <c r="CS72" s="204">
        <f t="shared" si="106"/>
        <v>359343.42529485608</v>
      </c>
      <c r="CT72" s="204">
        <f t="shared" si="106"/>
        <v>384011.51131951687</v>
      </c>
      <c r="CU72" s="204">
        <f t="shared" si="106"/>
        <v>408679.5973441776</v>
      </c>
      <c r="CV72" s="204">
        <f t="shared" si="106"/>
        <v>433347.68336883833</v>
      </c>
      <c r="CW72" s="204">
        <f t="shared" si="106"/>
        <v>458015.76939349907</v>
      </c>
      <c r="CX72" s="204">
        <f t="shared" si="106"/>
        <v>467795.57039349905</v>
      </c>
      <c r="CY72" s="204">
        <f t="shared" si="106"/>
        <v>477575.37139349902</v>
      </c>
      <c r="CZ72" s="204">
        <f t="shared" si="106"/>
        <v>487355.172393499</v>
      </c>
      <c r="DA72" s="204">
        <f t="shared" si="106"/>
        <v>497134.97339349904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49.458798702985163</v>
      </c>
      <c r="D108" s="212">
        <f>BU42</f>
        <v>26.815871730524524</v>
      </c>
      <c r="E108" s="212">
        <f>CR42</f>
        <v>-87.932869365282187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52.243333333333325</v>
      </c>
      <c r="D109" s="212">
        <f t="shared" ref="D109:D120" si="108">BU43</f>
        <v>140.65116279069767</v>
      </c>
      <c r="E109" s="212">
        <f t="shared" ref="E109:E120" si="109">CR43</f>
        <v>678.33333333333326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4.9511038903114075</v>
      </c>
      <c r="D110" s="212">
        <f t="shared" si="108"/>
        <v>10.376819465313924</v>
      </c>
      <c r="E110" s="212">
        <f t="shared" si="109"/>
        <v>92.165386575822566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225497.28109030775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5.9205333033117973E-2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62.222222222222221</v>
      </c>
      <c r="D112" s="212">
        <f t="shared" si="108"/>
        <v>354.23255813953489</v>
      </c>
      <c r="E112" s="212">
        <f t="shared" si="109"/>
        <v>1643.3333333333333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33.87093897902281</v>
      </c>
      <c r="D113" s="212">
        <f t="shared" si="108"/>
        <v>-121.37674418604655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232.29042357274409</v>
      </c>
      <c r="D114" s="212">
        <f t="shared" si="108"/>
        <v>-720.14863163304653</v>
      </c>
      <c r="E114" s="212">
        <f t="shared" si="109"/>
        <v>-64.176795580110507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466.66666666666669</v>
      </c>
      <c r="D115" s="212">
        <f t="shared" si="108"/>
        <v>2656.7441860465115</v>
      </c>
      <c r="E115" s="212">
        <f t="shared" si="109"/>
        <v>8160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56.816666666666684</v>
      </c>
      <c r="D116" s="212">
        <f t="shared" si="108"/>
        <v>21.879069767441845</v>
      </c>
      <c r="E116" s="212">
        <f t="shared" si="109"/>
        <v>-547.20000000000005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29.866666666666674</v>
      </c>
      <c r="D117" s="212">
        <f t="shared" si="108"/>
        <v>-50.009302325581409</v>
      </c>
      <c r="E117" s="212">
        <f t="shared" si="109"/>
        <v>13440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13.315920195774853</v>
      </c>
      <c r="D118" s="212">
        <f t="shared" si="108"/>
        <v>-26.285426184162645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35.456060606060618</v>
      </c>
      <c r="D119" s="212">
        <f t="shared" si="108"/>
        <v>-626.0634249471459</v>
      </c>
      <c r="E119" s="212">
        <f t="shared" si="109"/>
        <v>105.56363636363638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149.33333333333334</v>
      </c>
      <c r="D120" s="212">
        <f t="shared" si="108"/>
        <v>-187.53488372093022</v>
      </c>
      <c r="E120" s="212">
        <f t="shared" si="109"/>
        <v>1248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Lawrence;Charles Rethman (seasonality, total income, percentiles);SVAC</dc:creator>
  <cp:lastModifiedBy>Charles Rethman</cp:lastModifiedBy>
  <cp:lastPrinted>2011-04-19T10:12:05Z</cp:lastPrinted>
  <dcterms:created xsi:type="dcterms:W3CDTF">2006-01-21T10:30:34Z</dcterms:created>
  <dcterms:modified xsi:type="dcterms:W3CDTF">2015-12-02T08:50:20Z</dcterms:modified>
</cp:coreProperties>
</file>