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2420" windowHeight="1622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Middle!$A$1:$M$114</definedName>
    <definedName name="_xlnm.Print_Area" localSheetId="1">Poor!$A$1:$AK$73</definedName>
    <definedName name="_xlnm.Print_Area" localSheetId="3">Rich!$A$1:$M$114</definedName>
    <definedName name="_xlnm.Print_Area" localSheetId="0">V.Poor!$A$1:$M$114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8" i="8" l="1"/>
  <c r="B57" i="8"/>
  <c r="B58" i="8"/>
  <c r="B59" i="8"/>
  <c r="B60" i="8"/>
  <c r="B20" i="8"/>
  <c r="C20" i="8"/>
  <c r="D20" i="8"/>
  <c r="B21" i="8"/>
  <c r="C21" i="8"/>
  <c r="D21" i="8"/>
  <c r="B67" i="8"/>
  <c r="B69" i="8"/>
  <c r="B70" i="8"/>
  <c r="B69" i="1"/>
  <c r="G29" i="1"/>
  <c r="G29" i="7"/>
  <c r="G29" i="8"/>
  <c r="H70" i="8"/>
  <c r="I70" i="8"/>
  <c r="B68" i="1"/>
  <c r="T27" i="8"/>
  <c r="I92" i="9"/>
  <c r="B6" i="8"/>
  <c r="C6" i="8"/>
  <c r="D6" i="8"/>
  <c r="I6" i="8"/>
  <c r="B7" i="8"/>
  <c r="C7" i="8"/>
  <c r="D7" i="8"/>
  <c r="I7" i="8"/>
  <c r="B8" i="8"/>
  <c r="C8" i="8"/>
  <c r="D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I20" i="8"/>
  <c r="I21" i="8"/>
  <c r="B29" i="8"/>
  <c r="B78" i="8"/>
  <c r="C29" i="8"/>
  <c r="C78" i="8"/>
  <c r="D78" i="8"/>
  <c r="H78" i="8"/>
  <c r="I78" i="8"/>
  <c r="B30" i="8"/>
  <c r="B79" i="8"/>
  <c r="C30" i="8"/>
  <c r="C79" i="8"/>
  <c r="D79" i="8"/>
  <c r="G30" i="8"/>
  <c r="H79" i="8"/>
  <c r="I79" i="8"/>
  <c r="B31" i="8"/>
  <c r="B80" i="8"/>
  <c r="C31" i="8"/>
  <c r="C80" i="8"/>
  <c r="D80" i="8"/>
  <c r="G31" i="8"/>
  <c r="H80" i="8"/>
  <c r="I80" i="8"/>
  <c r="B32" i="8"/>
  <c r="B81" i="8"/>
  <c r="C32" i="8"/>
  <c r="C81" i="8"/>
  <c r="D81" i="8"/>
  <c r="G32" i="8"/>
  <c r="H81" i="8"/>
  <c r="I81" i="8"/>
  <c r="B33" i="8"/>
  <c r="B82" i="8"/>
  <c r="C33" i="8"/>
  <c r="C82" i="8"/>
  <c r="D82" i="8"/>
  <c r="G33" i="8"/>
  <c r="H82" i="8"/>
  <c r="I82" i="8"/>
  <c r="B34" i="8"/>
  <c r="B83" i="8"/>
  <c r="C34" i="8"/>
  <c r="C83" i="8"/>
  <c r="D83" i="8"/>
  <c r="G34" i="8"/>
  <c r="H83" i="8"/>
  <c r="I83" i="8"/>
  <c r="B35" i="8"/>
  <c r="B84" i="8"/>
  <c r="C35" i="8"/>
  <c r="C84" i="8"/>
  <c r="D84" i="8"/>
  <c r="G35" i="8"/>
  <c r="H84" i="8"/>
  <c r="I84" i="8"/>
  <c r="B36" i="8"/>
  <c r="B85" i="8"/>
  <c r="C36" i="8"/>
  <c r="C85" i="8"/>
  <c r="D85" i="8"/>
  <c r="G36" i="8"/>
  <c r="H85" i="8"/>
  <c r="I85" i="8"/>
  <c r="B37" i="8"/>
  <c r="B86" i="8"/>
  <c r="C37" i="8"/>
  <c r="C86" i="8"/>
  <c r="D86" i="8"/>
  <c r="G37" i="8"/>
  <c r="H86" i="8"/>
  <c r="I86" i="8"/>
  <c r="B38" i="8"/>
  <c r="B87" i="8"/>
  <c r="C38" i="8"/>
  <c r="C87" i="8"/>
  <c r="D87" i="8"/>
  <c r="G38" i="8"/>
  <c r="H87" i="8"/>
  <c r="I87" i="8"/>
  <c r="B39" i="8"/>
  <c r="B88" i="8"/>
  <c r="C39" i="8"/>
  <c r="C88" i="8"/>
  <c r="D88" i="8"/>
  <c r="G39" i="8"/>
  <c r="H88" i="8"/>
  <c r="I88" i="8"/>
  <c r="B40" i="8"/>
  <c r="B89" i="8"/>
  <c r="C40" i="8"/>
  <c r="C89" i="8"/>
  <c r="D89" i="8"/>
  <c r="G40" i="8"/>
  <c r="H89" i="8"/>
  <c r="I89" i="8"/>
  <c r="B41" i="8"/>
  <c r="B90" i="8"/>
  <c r="C41" i="8"/>
  <c r="C90" i="8"/>
  <c r="D90" i="8"/>
  <c r="G41" i="8"/>
  <c r="H90" i="8"/>
  <c r="I90" i="8"/>
  <c r="B42" i="8"/>
  <c r="B91" i="8"/>
  <c r="C42" i="8"/>
  <c r="C91" i="8"/>
  <c r="D91" i="8"/>
  <c r="G42" i="8"/>
  <c r="H91" i="8"/>
  <c r="I91" i="8"/>
  <c r="B43" i="8"/>
  <c r="B92" i="8"/>
  <c r="C43" i="8"/>
  <c r="C92" i="8"/>
  <c r="D92" i="8"/>
  <c r="G43" i="8"/>
  <c r="H92" i="8"/>
  <c r="I92" i="8"/>
  <c r="B44" i="8"/>
  <c r="B93" i="8"/>
  <c r="C44" i="8"/>
  <c r="C93" i="8"/>
  <c r="D93" i="8"/>
  <c r="G44" i="8"/>
  <c r="H93" i="8"/>
  <c r="I93" i="8"/>
  <c r="B45" i="8"/>
  <c r="B94" i="8"/>
  <c r="C45" i="8"/>
  <c r="C94" i="8"/>
  <c r="D94" i="8"/>
  <c r="G45" i="8"/>
  <c r="H94" i="8"/>
  <c r="I94" i="8"/>
  <c r="B46" i="8"/>
  <c r="B95" i="8"/>
  <c r="C46" i="8"/>
  <c r="C95" i="8"/>
  <c r="D95" i="8"/>
  <c r="G46" i="8"/>
  <c r="H95" i="8"/>
  <c r="I95" i="8"/>
  <c r="B47" i="8"/>
  <c r="B96" i="8"/>
  <c r="C47" i="8"/>
  <c r="C96" i="8"/>
  <c r="D96" i="8"/>
  <c r="G47" i="8"/>
  <c r="H96" i="8"/>
  <c r="I96" i="8"/>
  <c r="B48" i="8"/>
  <c r="B97" i="8"/>
  <c r="C48" i="8"/>
  <c r="C97" i="8"/>
  <c r="D97" i="8"/>
  <c r="G48" i="8"/>
  <c r="H97" i="8"/>
  <c r="I97" i="8"/>
  <c r="B49" i="8"/>
  <c r="B98" i="8"/>
  <c r="C49" i="8"/>
  <c r="C98" i="8"/>
  <c r="D98" i="8"/>
  <c r="G49" i="8"/>
  <c r="H98" i="8"/>
  <c r="I98" i="8"/>
  <c r="B50" i="8"/>
  <c r="B99" i="8"/>
  <c r="C50" i="8"/>
  <c r="C99" i="8"/>
  <c r="D99" i="8"/>
  <c r="G50" i="8"/>
  <c r="H99" i="8"/>
  <c r="I99" i="8"/>
  <c r="B51" i="8"/>
  <c r="B100" i="8"/>
  <c r="C51" i="8"/>
  <c r="C100" i="8"/>
  <c r="D100" i="8"/>
  <c r="G51" i="8"/>
  <c r="H100" i="8"/>
  <c r="I100" i="8"/>
  <c r="I101" i="8"/>
  <c r="B106" i="8"/>
  <c r="H106" i="8"/>
  <c r="I106" i="8"/>
  <c r="B107" i="8"/>
  <c r="H107" i="8"/>
  <c r="I107" i="8"/>
  <c r="I22" i="8"/>
  <c r="I24" i="8"/>
  <c r="B108" i="8"/>
  <c r="B109" i="8"/>
  <c r="H108" i="8"/>
  <c r="H109" i="8"/>
  <c r="I110" i="8"/>
  <c r="I113" i="8"/>
  <c r="K10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78" i="8"/>
  <c r="L78" i="8"/>
  <c r="K79" i="8"/>
  <c r="L79" i="8"/>
  <c r="K80" i="8"/>
  <c r="L80" i="8"/>
  <c r="K81" i="8"/>
  <c r="L81" i="8"/>
  <c r="K82" i="8"/>
  <c r="L82" i="8"/>
  <c r="K83" i="8"/>
  <c r="L83" i="8"/>
  <c r="K84" i="8"/>
  <c r="L84" i="8"/>
  <c r="K85" i="8"/>
  <c r="L85" i="8"/>
  <c r="K86" i="8"/>
  <c r="L86" i="8"/>
  <c r="K87" i="8"/>
  <c r="L87" i="8"/>
  <c r="K88" i="8"/>
  <c r="L88" i="8"/>
  <c r="K89" i="8"/>
  <c r="L89" i="8"/>
  <c r="K90" i="8"/>
  <c r="L90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L101" i="8"/>
  <c r="L106" i="8"/>
  <c r="B22" i="8"/>
  <c r="K22" i="8"/>
  <c r="B101" i="8"/>
  <c r="L22" i="8"/>
  <c r="L24" i="8"/>
  <c r="L107" i="8"/>
  <c r="J25" i="8"/>
  <c r="J9" i="8"/>
  <c r="M9" i="8"/>
  <c r="J10" i="8"/>
  <c r="M10" i="8"/>
  <c r="J11" i="8"/>
  <c r="M11" i="8"/>
  <c r="J12" i="8"/>
  <c r="M12" i="8"/>
  <c r="J6" i="8"/>
  <c r="M6" i="8"/>
  <c r="J7" i="8"/>
  <c r="M7" i="8"/>
  <c r="J8" i="8"/>
  <c r="M8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T7" i="8"/>
  <c r="J81" i="8"/>
  <c r="M81" i="8"/>
  <c r="T8" i="8"/>
  <c r="T9" i="8"/>
  <c r="T10" i="8"/>
  <c r="J78" i="8"/>
  <c r="M78" i="8"/>
  <c r="J79" i="8"/>
  <c r="M79" i="8"/>
  <c r="J80" i="8"/>
  <c r="M80" i="8"/>
  <c r="T11" i="8"/>
  <c r="J82" i="8"/>
  <c r="M82" i="8"/>
  <c r="T12" i="8"/>
  <c r="J83" i="8"/>
  <c r="M83" i="8"/>
  <c r="J84" i="8"/>
  <c r="M84" i="8"/>
  <c r="T13" i="8"/>
  <c r="J85" i="8"/>
  <c r="M85" i="8"/>
  <c r="T14" i="8"/>
  <c r="T15" i="8"/>
  <c r="J86" i="8"/>
  <c r="M86" i="8"/>
  <c r="T16" i="8"/>
  <c r="J87" i="8"/>
  <c r="M87" i="8"/>
  <c r="T17" i="8"/>
  <c r="T18" i="8"/>
  <c r="T19" i="8"/>
  <c r="J88" i="8"/>
  <c r="M88" i="8"/>
  <c r="T20" i="8"/>
  <c r="T21" i="8"/>
  <c r="T22" i="8"/>
  <c r="T23" i="8"/>
  <c r="I88" i="9"/>
  <c r="I101" i="9"/>
  <c r="B68" i="7"/>
  <c r="B57" i="7"/>
  <c r="B58" i="7"/>
  <c r="B59" i="7"/>
  <c r="B60" i="7"/>
  <c r="B20" i="7"/>
  <c r="C20" i="7"/>
  <c r="D20" i="7"/>
  <c r="B21" i="7"/>
  <c r="C21" i="7"/>
  <c r="D21" i="7"/>
  <c r="B67" i="7"/>
  <c r="B69" i="7"/>
  <c r="B70" i="7"/>
  <c r="H70" i="7"/>
  <c r="I70" i="7"/>
  <c r="T27" i="7"/>
  <c r="H92" i="9"/>
  <c r="B6" i="7"/>
  <c r="C6" i="7"/>
  <c r="D6" i="7"/>
  <c r="I6" i="7"/>
  <c r="B7" i="7"/>
  <c r="C7" i="7"/>
  <c r="D7" i="7"/>
  <c r="I7" i="7"/>
  <c r="B8" i="7"/>
  <c r="C8" i="7"/>
  <c r="D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I20" i="7"/>
  <c r="I21" i="7"/>
  <c r="B29" i="7"/>
  <c r="B78" i="7"/>
  <c r="C29" i="7"/>
  <c r="C78" i="7"/>
  <c r="D78" i="7"/>
  <c r="H78" i="7"/>
  <c r="I78" i="7"/>
  <c r="B30" i="7"/>
  <c r="B79" i="7"/>
  <c r="C30" i="7"/>
  <c r="C79" i="7"/>
  <c r="D79" i="7"/>
  <c r="G30" i="7"/>
  <c r="H79" i="7"/>
  <c r="I79" i="7"/>
  <c r="B31" i="7"/>
  <c r="B80" i="7"/>
  <c r="C31" i="7"/>
  <c r="C80" i="7"/>
  <c r="D80" i="7"/>
  <c r="G31" i="7"/>
  <c r="H80" i="7"/>
  <c r="I80" i="7"/>
  <c r="B32" i="7"/>
  <c r="B81" i="7"/>
  <c r="C32" i="7"/>
  <c r="C81" i="7"/>
  <c r="D81" i="7"/>
  <c r="G32" i="7"/>
  <c r="H81" i="7"/>
  <c r="I81" i="7"/>
  <c r="B33" i="7"/>
  <c r="B82" i="7"/>
  <c r="C33" i="7"/>
  <c r="C82" i="7"/>
  <c r="D82" i="7"/>
  <c r="G33" i="7"/>
  <c r="H82" i="7"/>
  <c r="I82" i="7"/>
  <c r="B34" i="7"/>
  <c r="B83" i="7"/>
  <c r="C34" i="7"/>
  <c r="C83" i="7"/>
  <c r="D83" i="7"/>
  <c r="G34" i="7"/>
  <c r="H83" i="7"/>
  <c r="I83" i="7"/>
  <c r="B35" i="7"/>
  <c r="B84" i="7"/>
  <c r="C35" i="7"/>
  <c r="C84" i="7"/>
  <c r="D84" i="7"/>
  <c r="G35" i="7"/>
  <c r="H84" i="7"/>
  <c r="I84" i="7"/>
  <c r="B36" i="7"/>
  <c r="B85" i="7"/>
  <c r="C36" i="7"/>
  <c r="C85" i="7"/>
  <c r="D85" i="7"/>
  <c r="G36" i="7"/>
  <c r="H85" i="7"/>
  <c r="I85" i="7"/>
  <c r="B37" i="7"/>
  <c r="B86" i="7"/>
  <c r="C37" i="7"/>
  <c r="C86" i="7"/>
  <c r="D86" i="7"/>
  <c r="G37" i="7"/>
  <c r="H86" i="7"/>
  <c r="I86" i="7"/>
  <c r="B38" i="7"/>
  <c r="B87" i="7"/>
  <c r="C38" i="7"/>
  <c r="C87" i="7"/>
  <c r="D87" i="7"/>
  <c r="G38" i="7"/>
  <c r="H87" i="7"/>
  <c r="I87" i="7"/>
  <c r="B39" i="7"/>
  <c r="B88" i="7"/>
  <c r="C39" i="7"/>
  <c r="C88" i="7"/>
  <c r="D88" i="7"/>
  <c r="G39" i="7"/>
  <c r="H88" i="7"/>
  <c r="I88" i="7"/>
  <c r="B40" i="7"/>
  <c r="B89" i="7"/>
  <c r="C40" i="7"/>
  <c r="C89" i="7"/>
  <c r="D89" i="7"/>
  <c r="G40" i="7"/>
  <c r="H89" i="7"/>
  <c r="I89" i="7"/>
  <c r="B41" i="7"/>
  <c r="B90" i="7"/>
  <c r="C41" i="7"/>
  <c r="C90" i="7"/>
  <c r="D90" i="7"/>
  <c r="G41" i="7"/>
  <c r="H90" i="7"/>
  <c r="I90" i="7"/>
  <c r="B42" i="7"/>
  <c r="B91" i="7"/>
  <c r="C42" i="7"/>
  <c r="C91" i="7"/>
  <c r="D91" i="7"/>
  <c r="G42" i="7"/>
  <c r="H91" i="7"/>
  <c r="I91" i="7"/>
  <c r="B43" i="7"/>
  <c r="B92" i="7"/>
  <c r="C43" i="7"/>
  <c r="C92" i="7"/>
  <c r="D92" i="7"/>
  <c r="G43" i="7"/>
  <c r="H92" i="7"/>
  <c r="I92" i="7"/>
  <c r="B44" i="7"/>
  <c r="B93" i="7"/>
  <c r="C44" i="7"/>
  <c r="C93" i="7"/>
  <c r="D93" i="7"/>
  <c r="G44" i="7"/>
  <c r="H93" i="7"/>
  <c r="I93" i="7"/>
  <c r="B45" i="7"/>
  <c r="B94" i="7"/>
  <c r="C45" i="7"/>
  <c r="C94" i="7"/>
  <c r="D94" i="7"/>
  <c r="G45" i="7"/>
  <c r="H94" i="7"/>
  <c r="I94" i="7"/>
  <c r="B46" i="7"/>
  <c r="B95" i="7"/>
  <c r="C46" i="7"/>
  <c r="C95" i="7"/>
  <c r="D95" i="7"/>
  <c r="G46" i="7"/>
  <c r="H95" i="7"/>
  <c r="I95" i="7"/>
  <c r="B47" i="7"/>
  <c r="B96" i="7"/>
  <c r="C47" i="7"/>
  <c r="C96" i="7"/>
  <c r="D96" i="7"/>
  <c r="G47" i="7"/>
  <c r="H96" i="7"/>
  <c r="I96" i="7"/>
  <c r="B48" i="7"/>
  <c r="B97" i="7"/>
  <c r="C48" i="7"/>
  <c r="C97" i="7"/>
  <c r="D97" i="7"/>
  <c r="G48" i="7"/>
  <c r="H97" i="7"/>
  <c r="I97" i="7"/>
  <c r="B49" i="7"/>
  <c r="B98" i="7"/>
  <c r="C49" i="7"/>
  <c r="C98" i="7"/>
  <c r="D98" i="7"/>
  <c r="G49" i="7"/>
  <c r="H98" i="7"/>
  <c r="I98" i="7"/>
  <c r="B50" i="7"/>
  <c r="B99" i="7"/>
  <c r="C50" i="7"/>
  <c r="C99" i="7"/>
  <c r="D99" i="7"/>
  <c r="G50" i="7"/>
  <c r="H99" i="7"/>
  <c r="I99" i="7"/>
  <c r="B51" i="7"/>
  <c r="B100" i="7"/>
  <c r="C51" i="7"/>
  <c r="C100" i="7"/>
  <c r="D100" i="7"/>
  <c r="G51" i="7"/>
  <c r="H100" i="7"/>
  <c r="I100" i="7"/>
  <c r="I101" i="7"/>
  <c r="B106" i="7"/>
  <c r="H106" i="7"/>
  <c r="I106" i="7"/>
  <c r="B107" i="7"/>
  <c r="H107" i="7"/>
  <c r="I107" i="7"/>
  <c r="I22" i="7"/>
  <c r="I24" i="7"/>
  <c r="B108" i="7"/>
  <c r="B109" i="7"/>
  <c r="H108" i="7"/>
  <c r="H109" i="7"/>
  <c r="I110" i="7"/>
  <c r="I113" i="7"/>
  <c r="K10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78" i="7"/>
  <c r="L78" i="7"/>
  <c r="K79" i="7"/>
  <c r="L79" i="7"/>
  <c r="K80" i="7"/>
  <c r="L80" i="7"/>
  <c r="K81" i="7"/>
  <c r="L81" i="7"/>
  <c r="K82" i="7"/>
  <c r="L82" i="7"/>
  <c r="K83" i="7"/>
  <c r="L83" i="7"/>
  <c r="K84" i="7"/>
  <c r="L84" i="7"/>
  <c r="K85" i="7"/>
  <c r="L85" i="7"/>
  <c r="K86" i="7"/>
  <c r="L86" i="7"/>
  <c r="K87" i="7"/>
  <c r="L87" i="7"/>
  <c r="K88" i="7"/>
  <c r="L88" i="7"/>
  <c r="K89" i="7"/>
  <c r="L89" i="7"/>
  <c r="K90" i="7"/>
  <c r="L90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L101" i="7"/>
  <c r="L106" i="7"/>
  <c r="B22" i="7"/>
  <c r="K22" i="7"/>
  <c r="B101" i="7"/>
  <c r="L22" i="7"/>
  <c r="L24" i="7"/>
  <c r="L107" i="7"/>
  <c r="J25" i="7"/>
  <c r="J9" i="7"/>
  <c r="M9" i="7"/>
  <c r="J10" i="7"/>
  <c r="M10" i="7"/>
  <c r="J11" i="7"/>
  <c r="M11" i="7"/>
  <c r="J12" i="7"/>
  <c r="M12" i="7"/>
  <c r="J6" i="7"/>
  <c r="M6" i="7"/>
  <c r="J7" i="7"/>
  <c r="M7" i="7"/>
  <c r="J8" i="7"/>
  <c r="M8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T7" i="7"/>
  <c r="J81" i="7"/>
  <c r="M81" i="7"/>
  <c r="T8" i="7"/>
  <c r="T9" i="7"/>
  <c r="T10" i="7"/>
  <c r="J78" i="7"/>
  <c r="M78" i="7"/>
  <c r="J79" i="7"/>
  <c r="M79" i="7"/>
  <c r="J80" i="7"/>
  <c r="M80" i="7"/>
  <c r="T11" i="7"/>
  <c r="J82" i="7"/>
  <c r="M82" i="7"/>
  <c r="T12" i="7"/>
  <c r="J83" i="7"/>
  <c r="M83" i="7"/>
  <c r="J84" i="7"/>
  <c r="M84" i="7"/>
  <c r="T13" i="7"/>
  <c r="J85" i="7"/>
  <c r="M85" i="7"/>
  <c r="T14" i="7"/>
  <c r="T15" i="7"/>
  <c r="J86" i="7"/>
  <c r="M86" i="7"/>
  <c r="T16" i="7"/>
  <c r="J87" i="7"/>
  <c r="M87" i="7"/>
  <c r="T17" i="7"/>
  <c r="T18" i="7"/>
  <c r="T19" i="7"/>
  <c r="J88" i="7"/>
  <c r="M88" i="7"/>
  <c r="T20" i="7"/>
  <c r="T21" i="7"/>
  <c r="T22" i="7"/>
  <c r="T23" i="7"/>
  <c r="H88" i="9"/>
  <c r="H101" i="9"/>
  <c r="B57" i="1"/>
  <c r="B58" i="1"/>
  <c r="B59" i="1"/>
  <c r="B60" i="1"/>
  <c r="B20" i="1"/>
  <c r="C20" i="1"/>
  <c r="D20" i="1"/>
  <c r="F7" i="1"/>
  <c r="H20" i="1"/>
  <c r="B21" i="1"/>
  <c r="C21" i="1"/>
  <c r="D21" i="1"/>
  <c r="H21" i="1"/>
  <c r="B67" i="1"/>
  <c r="B70" i="1"/>
  <c r="H70" i="1"/>
  <c r="I70" i="1"/>
  <c r="T27" i="1"/>
  <c r="G92" i="9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I20" i="1"/>
  <c r="I21" i="1"/>
  <c r="B29" i="1"/>
  <c r="B78" i="1"/>
  <c r="C29" i="1"/>
  <c r="C78" i="1"/>
  <c r="D78" i="1"/>
  <c r="H78" i="1"/>
  <c r="I78" i="1"/>
  <c r="B30" i="1"/>
  <c r="B79" i="1"/>
  <c r="C30" i="1"/>
  <c r="C79" i="1"/>
  <c r="D79" i="1"/>
  <c r="G30" i="1"/>
  <c r="H79" i="1"/>
  <c r="I79" i="1"/>
  <c r="B31" i="1"/>
  <c r="B80" i="1"/>
  <c r="C31" i="1"/>
  <c r="C80" i="1"/>
  <c r="D80" i="1"/>
  <c r="G31" i="1"/>
  <c r="H80" i="1"/>
  <c r="I80" i="1"/>
  <c r="B32" i="1"/>
  <c r="B81" i="1"/>
  <c r="C32" i="1"/>
  <c r="C81" i="1"/>
  <c r="D81" i="1"/>
  <c r="G32" i="1"/>
  <c r="H81" i="1"/>
  <c r="I81" i="1"/>
  <c r="B33" i="1"/>
  <c r="B82" i="1"/>
  <c r="C33" i="1"/>
  <c r="C82" i="1"/>
  <c r="D82" i="1"/>
  <c r="G33" i="1"/>
  <c r="H82" i="1"/>
  <c r="I82" i="1"/>
  <c r="B34" i="1"/>
  <c r="B83" i="1"/>
  <c r="C34" i="1"/>
  <c r="C83" i="1"/>
  <c r="D83" i="1"/>
  <c r="G34" i="1"/>
  <c r="H83" i="1"/>
  <c r="I83" i="1"/>
  <c r="B35" i="1"/>
  <c r="B84" i="1"/>
  <c r="C35" i="1"/>
  <c r="C84" i="1"/>
  <c r="D84" i="1"/>
  <c r="G35" i="1"/>
  <c r="H84" i="1"/>
  <c r="I84" i="1"/>
  <c r="B36" i="1"/>
  <c r="B85" i="1"/>
  <c r="C36" i="1"/>
  <c r="C85" i="1"/>
  <c r="D85" i="1"/>
  <c r="G36" i="1"/>
  <c r="H85" i="1"/>
  <c r="I85" i="1"/>
  <c r="B37" i="1"/>
  <c r="B86" i="1"/>
  <c r="C37" i="1"/>
  <c r="C86" i="1"/>
  <c r="D86" i="1"/>
  <c r="G37" i="1"/>
  <c r="H86" i="1"/>
  <c r="I86" i="1"/>
  <c r="B38" i="1"/>
  <c r="B87" i="1"/>
  <c r="C38" i="1"/>
  <c r="C87" i="1"/>
  <c r="D87" i="1"/>
  <c r="G38" i="1"/>
  <c r="H87" i="1"/>
  <c r="I87" i="1"/>
  <c r="B39" i="1"/>
  <c r="B88" i="1"/>
  <c r="C39" i="1"/>
  <c r="C88" i="1"/>
  <c r="D88" i="1"/>
  <c r="G39" i="1"/>
  <c r="H88" i="1"/>
  <c r="I88" i="1"/>
  <c r="B40" i="1"/>
  <c r="B89" i="1"/>
  <c r="C40" i="1"/>
  <c r="C89" i="1"/>
  <c r="D89" i="1"/>
  <c r="G40" i="1"/>
  <c r="H89" i="1"/>
  <c r="I89" i="1"/>
  <c r="B41" i="1"/>
  <c r="B90" i="1"/>
  <c r="C41" i="1"/>
  <c r="C90" i="1"/>
  <c r="D90" i="1"/>
  <c r="G41" i="1"/>
  <c r="H90" i="1"/>
  <c r="I90" i="1"/>
  <c r="B42" i="1"/>
  <c r="B91" i="1"/>
  <c r="C42" i="1"/>
  <c r="C91" i="1"/>
  <c r="D91" i="1"/>
  <c r="G42" i="1"/>
  <c r="H91" i="1"/>
  <c r="I91" i="1"/>
  <c r="B43" i="1"/>
  <c r="B92" i="1"/>
  <c r="C43" i="1"/>
  <c r="C92" i="1"/>
  <c r="D92" i="1"/>
  <c r="G43" i="1"/>
  <c r="H92" i="1"/>
  <c r="I92" i="1"/>
  <c r="B44" i="1"/>
  <c r="B93" i="1"/>
  <c r="C44" i="1"/>
  <c r="C93" i="1"/>
  <c r="D93" i="1"/>
  <c r="G44" i="1"/>
  <c r="H93" i="1"/>
  <c r="I93" i="1"/>
  <c r="B45" i="1"/>
  <c r="B94" i="1"/>
  <c r="C45" i="1"/>
  <c r="C94" i="1"/>
  <c r="D94" i="1"/>
  <c r="G45" i="1"/>
  <c r="H94" i="1"/>
  <c r="I94" i="1"/>
  <c r="B46" i="1"/>
  <c r="B95" i="1"/>
  <c r="C46" i="1"/>
  <c r="C95" i="1"/>
  <c r="D95" i="1"/>
  <c r="G46" i="1"/>
  <c r="H95" i="1"/>
  <c r="I95" i="1"/>
  <c r="B47" i="1"/>
  <c r="B96" i="1"/>
  <c r="C47" i="1"/>
  <c r="C96" i="1"/>
  <c r="D96" i="1"/>
  <c r="G47" i="1"/>
  <c r="H96" i="1"/>
  <c r="I96" i="1"/>
  <c r="B48" i="1"/>
  <c r="B97" i="1"/>
  <c r="C48" i="1"/>
  <c r="C97" i="1"/>
  <c r="D97" i="1"/>
  <c r="G48" i="1"/>
  <c r="H97" i="1"/>
  <c r="I97" i="1"/>
  <c r="B49" i="1"/>
  <c r="B98" i="1"/>
  <c r="C49" i="1"/>
  <c r="C98" i="1"/>
  <c r="D98" i="1"/>
  <c r="G49" i="1"/>
  <c r="H98" i="1"/>
  <c r="I98" i="1"/>
  <c r="B50" i="1"/>
  <c r="B99" i="1"/>
  <c r="C50" i="1"/>
  <c r="C99" i="1"/>
  <c r="D99" i="1"/>
  <c r="G50" i="1"/>
  <c r="H99" i="1"/>
  <c r="I99" i="1"/>
  <c r="B51" i="1"/>
  <c r="B100" i="1"/>
  <c r="C51" i="1"/>
  <c r="C100" i="1"/>
  <c r="D100" i="1"/>
  <c r="G51" i="1"/>
  <c r="H100" i="1"/>
  <c r="I100" i="1"/>
  <c r="I101" i="1"/>
  <c r="B106" i="1"/>
  <c r="H106" i="1"/>
  <c r="I106" i="1"/>
  <c r="B107" i="1"/>
  <c r="H107" i="1"/>
  <c r="I107" i="1"/>
  <c r="I22" i="1"/>
  <c r="I24" i="1"/>
  <c r="B108" i="1"/>
  <c r="B109" i="1"/>
  <c r="H108" i="1"/>
  <c r="H109" i="1"/>
  <c r="I110" i="1"/>
  <c r="I113" i="1"/>
  <c r="J9" i="1"/>
  <c r="M9" i="1"/>
  <c r="J10" i="1"/>
  <c r="M10" i="1"/>
  <c r="J11" i="1"/>
  <c r="M11" i="1"/>
  <c r="J12" i="1"/>
  <c r="M12" i="1"/>
  <c r="J6" i="1"/>
  <c r="M6" i="1"/>
  <c r="J7" i="1"/>
  <c r="M7" i="1"/>
  <c r="J8" i="1"/>
  <c r="M8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T7" i="1"/>
  <c r="J81" i="1"/>
  <c r="M81" i="1"/>
  <c r="T8" i="1"/>
  <c r="T9" i="1"/>
  <c r="T10" i="1"/>
  <c r="J78" i="1"/>
  <c r="M78" i="1"/>
  <c r="J79" i="1"/>
  <c r="M79" i="1"/>
  <c r="J80" i="1"/>
  <c r="M80" i="1"/>
  <c r="T11" i="1"/>
  <c r="J82" i="1"/>
  <c r="M82" i="1"/>
  <c r="T12" i="1"/>
  <c r="J83" i="1"/>
  <c r="M83" i="1"/>
  <c r="J84" i="1"/>
  <c r="M84" i="1"/>
  <c r="T13" i="1"/>
  <c r="J85" i="1"/>
  <c r="M85" i="1"/>
  <c r="T14" i="1"/>
  <c r="T15" i="1"/>
  <c r="J86" i="1"/>
  <c r="M86" i="1"/>
  <c r="T16" i="1"/>
  <c r="J87" i="1"/>
  <c r="M87" i="1"/>
  <c r="T17" i="1"/>
  <c r="T18" i="1"/>
  <c r="T19" i="1"/>
  <c r="J88" i="1"/>
  <c r="M88" i="1"/>
  <c r="T20" i="1"/>
  <c r="T21" i="1"/>
  <c r="T22" i="1"/>
  <c r="T23" i="1"/>
  <c r="G88" i="9"/>
  <c r="G101" i="9"/>
  <c r="B68" i="12"/>
  <c r="B57" i="12"/>
  <c r="B58" i="12"/>
  <c r="B59" i="12"/>
  <c r="B60" i="12"/>
  <c r="B20" i="12"/>
  <c r="C20" i="12"/>
  <c r="D20" i="12"/>
  <c r="B21" i="12"/>
  <c r="C21" i="12"/>
  <c r="D21" i="12"/>
  <c r="B67" i="12"/>
  <c r="B69" i="12"/>
  <c r="B70" i="12"/>
  <c r="G29" i="12"/>
  <c r="H70" i="12"/>
  <c r="I70" i="12"/>
  <c r="T27" i="12"/>
  <c r="F92" i="9"/>
  <c r="B6" i="12"/>
  <c r="C6" i="12"/>
  <c r="D6" i="12"/>
  <c r="I6" i="12"/>
  <c r="B7" i="12"/>
  <c r="C7" i="12"/>
  <c r="D7" i="12"/>
  <c r="I7" i="12"/>
  <c r="B8" i="12"/>
  <c r="C8" i="12"/>
  <c r="D8" i="12"/>
  <c r="I8" i="12"/>
  <c r="B9" i="12"/>
  <c r="C9" i="12"/>
  <c r="D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I20" i="12"/>
  <c r="I21" i="12"/>
  <c r="B29" i="12"/>
  <c r="B78" i="12"/>
  <c r="C29" i="12"/>
  <c r="C78" i="12"/>
  <c r="D78" i="12"/>
  <c r="H78" i="12"/>
  <c r="I78" i="12"/>
  <c r="B30" i="12"/>
  <c r="B79" i="12"/>
  <c r="C30" i="12"/>
  <c r="C79" i="12"/>
  <c r="D79" i="12"/>
  <c r="G30" i="12"/>
  <c r="H79" i="12"/>
  <c r="I79" i="12"/>
  <c r="B31" i="12"/>
  <c r="B80" i="12"/>
  <c r="C31" i="12"/>
  <c r="C80" i="12"/>
  <c r="D80" i="12"/>
  <c r="G31" i="12"/>
  <c r="H80" i="12"/>
  <c r="I80" i="12"/>
  <c r="B32" i="12"/>
  <c r="B81" i="12"/>
  <c r="C32" i="12"/>
  <c r="C81" i="12"/>
  <c r="D81" i="12"/>
  <c r="G32" i="12"/>
  <c r="H81" i="12"/>
  <c r="I81" i="12"/>
  <c r="B33" i="12"/>
  <c r="B82" i="12"/>
  <c r="C33" i="12"/>
  <c r="C82" i="12"/>
  <c r="D82" i="12"/>
  <c r="G33" i="12"/>
  <c r="H82" i="12"/>
  <c r="I82" i="12"/>
  <c r="B34" i="12"/>
  <c r="B83" i="12"/>
  <c r="C34" i="12"/>
  <c r="C83" i="12"/>
  <c r="D83" i="12"/>
  <c r="G34" i="12"/>
  <c r="H83" i="12"/>
  <c r="I83" i="12"/>
  <c r="B35" i="12"/>
  <c r="B84" i="12"/>
  <c r="C35" i="12"/>
  <c r="C84" i="12"/>
  <c r="D84" i="12"/>
  <c r="G35" i="12"/>
  <c r="H84" i="12"/>
  <c r="I84" i="12"/>
  <c r="B36" i="12"/>
  <c r="B85" i="12"/>
  <c r="C36" i="12"/>
  <c r="C85" i="12"/>
  <c r="D85" i="12"/>
  <c r="G36" i="12"/>
  <c r="H85" i="12"/>
  <c r="I85" i="12"/>
  <c r="B37" i="12"/>
  <c r="B86" i="12"/>
  <c r="C37" i="12"/>
  <c r="C86" i="12"/>
  <c r="D86" i="12"/>
  <c r="G37" i="12"/>
  <c r="H86" i="12"/>
  <c r="I86" i="12"/>
  <c r="B38" i="12"/>
  <c r="B87" i="12"/>
  <c r="C38" i="12"/>
  <c r="C87" i="12"/>
  <c r="D87" i="12"/>
  <c r="G38" i="12"/>
  <c r="H87" i="12"/>
  <c r="I87" i="12"/>
  <c r="B39" i="12"/>
  <c r="B88" i="12"/>
  <c r="C39" i="12"/>
  <c r="C88" i="12"/>
  <c r="D88" i="12"/>
  <c r="G39" i="12"/>
  <c r="H88" i="12"/>
  <c r="I88" i="12"/>
  <c r="B40" i="12"/>
  <c r="B89" i="12"/>
  <c r="C40" i="12"/>
  <c r="C89" i="12"/>
  <c r="D89" i="12"/>
  <c r="G40" i="12"/>
  <c r="H89" i="12"/>
  <c r="I89" i="12"/>
  <c r="B41" i="12"/>
  <c r="B90" i="12"/>
  <c r="C41" i="12"/>
  <c r="C90" i="12"/>
  <c r="D90" i="12"/>
  <c r="G41" i="12"/>
  <c r="H90" i="12"/>
  <c r="I90" i="12"/>
  <c r="B42" i="12"/>
  <c r="B91" i="12"/>
  <c r="C42" i="12"/>
  <c r="C91" i="12"/>
  <c r="D91" i="12"/>
  <c r="G42" i="12"/>
  <c r="H91" i="12"/>
  <c r="I91" i="12"/>
  <c r="B43" i="12"/>
  <c r="B92" i="12"/>
  <c r="C43" i="12"/>
  <c r="C92" i="12"/>
  <c r="D92" i="12"/>
  <c r="G43" i="12"/>
  <c r="H92" i="12"/>
  <c r="I92" i="12"/>
  <c r="B44" i="12"/>
  <c r="B93" i="12"/>
  <c r="C44" i="12"/>
  <c r="C93" i="12"/>
  <c r="D93" i="12"/>
  <c r="G44" i="12"/>
  <c r="H93" i="12"/>
  <c r="I93" i="12"/>
  <c r="B45" i="12"/>
  <c r="B94" i="12"/>
  <c r="C45" i="12"/>
  <c r="C94" i="12"/>
  <c r="D94" i="12"/>
  <c r="G45" i="12"/>
  <c r="H94" i="12"/>
  <c r="I94" i="12"/>
  <c r="B46" i="12"/>
  <c r="B95" i="12"/>
  <c r="C46" i="12"/>
  <c r="C95" i="12"/>
  <c r="D95" i="12"/>
  <c r="G46" i="12"/>
  <c r="H95" i="12"/>
  <c r="I95" i="12"/>
  <c r="B47" i="12"/>
  <c r="B96" i="12"/>
  <c r="C47" i="12"/>
  <c r="C96" i="12"/>
  <c r="D96" i="12"/>
  <c r="G47" i="12"/>
  <c r="H96" i="12"/>
  <c r="I96" i="12"/>
  <c r="B48" i="12"/>
  <c r="B97" i="12"/>
  <c r="C48" i="12"/>
  <c r="C97" i="12"/>
  <c r="D97" i="12"/>
  <c r="G48" i="12"/>
  <c r="H97" i="12"/>
  <c r="I97" i="12"/>
  <c r="B49" i="12"/>
  <c r="B98" i="12"/>
  <c r="C49" i="12"/>
  <c r="C98" i="12"/>
  <c r="D98" i="12"/>
  <c r="G49" i="12"/>
  <c r="H98" i="12"/>
  <c r="I98" i="12"/>
  <c r="B50" i="12"/>
  <c r="B99" i="12"/>
  <c r="C50" i="12"/>
  <c r="C99" i="12"/>
  <c r="D99" i="12"/>
  <c r="G50" i="12"/>
  <c r="H99" i="12"/>
  <c r="I99" i="12"/>
  <c r="B51" i="12"/>
  <c r="B100" i="12"/>
  <c r="C51" i="12"/>
  <c r="C100" i="12"/>
  <c r="D100" i="12"/>
  <c r="G51" i="12"/>
  <c r="H100" i="12"/>
  <c r="I100" i="12"/>
  <c r="I101" i="12"/>
  <c r="B106" i="12"/>
  <c r="H106" i="12"/>
  <c r="I106" i="12"/>
  <c r="B107" i="12"/>
  <c r="H107" i="12"/>
  <c r="I107" i="12"/>
  <c r="I22" i="12"/>
  <c r="I24" i="12"/>
  <c r="B108" i="12"/>
  <c r="B109" i="12"/>
  <c r="H108" i="12"/>
  <c r="H109" i="12"/>
  <c r="I110" i="12"/>
  <c r="I113" i="12"/>
  <c r="J9" i="12"/>
  <c r="M9" i="12"/>
  <c r="J10" i="12"/>
  <c r="M10" i="12"/>
  <c r="J11" i="12"/>
  <c r="M11" i="12"/>
  <c r="J12" i="12"/>
  <c r="M12" i="12"/>
  <c r="J6" i="12"/>
  <c r="M6" i="12"/>
  <c r="J7" i="12"/>
  <c r="M7" i="12"/>
  <c r="J8" i="12"/>
  <c r="M8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T7" i="12"/>
  <c r="J81" i="12"/>
  <c r="M81" i="12"/>
  <c r="T8" i="12"/>
  <c r="T9" i="12"/>
  <c r="T10" i="12"/>
  <c r="J78" i="12"/>
  <c r="M78" i="12"/>
  <c r="J79" i="12"/>
  <c r="M79" i="12"/>
  <c r="J80" i="12"/>
  <c r="M80" i="12"/>
  <c r="T11" i="12"/>
  <c r="J82" i="12"/>
  <c r="M82" i="12"/>
  <c r="T12" i="12"/>
  <c r="J83" i="12"/>
  <c r="M83" i="12"/>
  <c r="J84" i="12"/>
  <c r="M84" i="12"/>
  <c r="T13" i="12"/>
  <c r="J85" i="12"/>
  <c r="M85" i="12"/>
  <c r="T14" i="12"/>
  <c r="T15" i="12"/>
  <c r="J86" i="12"/>
  <c r="M86" i="12"/>
  <c r="T16" i="12"/>
  <c r="J87" i="12"/>
  <c r="M87" i="12"/>
  <c r="T17" i="12"/>
  <c r="T18" i="12"/>
  <c r="T19" i="12"/>
  <c r="J88" i="12"/>
  <c r="M88" i="12"/>
  <c r="T20" i="12"/>
  <c r="T21" i="12"/>
  <c r="T22" i="12"/>
  <c r="T23" i="12"/>
  <c r="F88" i="9"/>
  <c r="F101" i="9"/>
  <c r="B71" i="8"/>
  <c r="I71" i="8"/>
  <c r="H71" i="8"/>
  <c r="R27" i="8"/>
  <c r="E92" i="9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E88" i="9"/>
  <c r="E101" i="9"/>
  <c r="B71" i="7"/>
  <c r="I71" i="7"/>
  <c r="H71" i="7"/>
  <c r="R27" i="7"/>
  <c r="D92" i="9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D88" i="9"/>
  <c r="D101" i="9"/>
  <c r="B71" i="1"/>
  <c r="I71" i="1"/>
  <c r="H71" i="1"/>
  <c r="R27" i="1"/>
  <c r="C92" i="9"/>
  <c r="K9" i="1"/>
  <c r="K10" i="1"/>
  <c r="K11" i="1"/>
  <c r="K12" i="1"/>
  <c r="K6" i="1"/>
  <c r="K7" i="1"/>
  <c r="K8" i="1"/>
  <c r="K13" i="1"/>
  <c r="K14" i="1"/>
  <c r="K15" i="1"/>
  <c r="K16" i="1"/>
  <c r="K17" i="1"/>
  <c r="K18" i="1"/>
  <c r="K19" i="1"/>
  <c r="K20" i="1"/>
  <c r="R7" i="1"/>
  <c r="K81" i="1"/>
  <c r="R8" i="1"/>
  <c r="R9" i="1"/>
  <c r="R10" i="1"/>
  <c r="K78" i="1"/>
  <c r="K79" i="1"/>
  <c r="K80" i="1"/>
  <c r="R11" i="1"/>
  <c r="K82" i="1"/>
  <c r="R12" i="1"/>
  <c r="K83" i="1"/>
  <c r="K84" i="1"/>
  <c r="R13" i="1"/>
  <c r="K85" i="1"/>
  <c r="R14" i="1"/>
  <c r="R15" i="1"/>
  <c r="K86" i="1"/>
  <c r="R16" i="1"/>
  <c r="K87" i="1"/>
  <c r="R17" i="1"/>
  <c r="R18" i="1"/>
  <c r="R19" i="1"/>
  <c r="K88" i="1"/>
  <c r="R20" i="1"/>
  <c r="R21" i="1"/>
  <c r="R22" i="1"/>
  <c r="R23" i="1"/>
  <c r="C88" i="9"/>
  <c r="C101" i="9"/>
  <c r="B71" i="12"/>
  <c r="I71" i="12"/>
  <c r="H71" i="12"/>
  <c r="R27" i="12"/>
  <c r="B92" i="9"/>
  <c r="K9" i="12"/>
  <c r="K10" i="12"/>
  <c r="K11" i="12"/>
  <c r="K12" i="12"/>
  <c r="K6" i="12"/>
  <c r="K7" i="12"/>
  <c r="K8" i="12"/>
  <c r="K13" i="12"/>
  <c r="K14" i="12"/>
  <c r="K15" i="12"/>
  <c r="K16" i="12"/>
  <c r="K17" i="12"/>
  <c r="K18" i="12"/>
  <c r="K19" i="12"/>
  <c r="K20" i="12"/>
  <c r="R7" i="12"/>
  <c r="K81" i="12"/>
  <c r="R8" i="12"/>
  <c r="R9" i="12"/>
  <c r="R10" i="12"/>
  <c r="K78" i="12"/>
  <c r="K79" i="12"/>
  <c r="K80" i="12"/>
  <c r="R11" i="12"/>
  <c r="K82" i="12"/>
  <c r="R12" i="12"/>
  <c r="K83" i="12"/>
  <c r="K84" i="12"/>
  <c r="R13" i="12"/>
  <c r="K85" i="12"/>
  <c r="R14" i="12"/>
  <c r="R15" i="12"/>
  <c r="K86" i="12"/>
  <c r="R16" i="12"/>
  <c r="K87" i="12"/>
  <c r="R17" i="12"/>
  <c r="R18" i="12"/>
  <c r="R19" i="12"/>
  <c r="K88" i="12"/>
  <c r="R20" i="12"/>
  <c r="R21" i="12"/>
  <c r="R22" i="12"/>
  <c r="R23" i="12"/>
  <c r="B88" i="9"/>
  <c r="B101" i="9"/>
  <c r="T26" i="8"/>
  <c r="I91" i="9"/>
  <c r="I100" i="9"/>
  <c r="T26" i="7"/>
  <c r="H91" i="9"/>
  <c r="H100" i="9"/>
  <c r="T26" i="1"/>
  <c r="G91" i="9"/>
  <c r="G100" i="9"/>
  <c r="T26" i="12"/>
  <c r="F91" i="9"/>
  <c r="F100" i="9"/>
  <c r="R26" i="8"/>
  <c r="E91" i="9"/>
  <c r="E100" i="9"/>
  <c r="R26" i="7"/>
  <c r="D91" i="9"/>
  <c r="D100" i="9"/>
  <c r="R26" i="1"/>
  <c r="C91" i="9"/>
  <c r="C100" i="9"/>
  <c r="R26" i="12"/>
  <c r="B91" i="9"/>
  <c r="B100" i="9"/>
  <c r="T25" i="8"/>
  <c r="I90" i="9"/>
  <c r="I99" i="9"/>
  <c r="T25" i="7"/>
  <c r="H90" i="9"/>
  <c r="H99" i="9"/>
  <c r="T25" i="1"/>
  <c r="G90" i="9"/>
  <c r="G99" i="9"/>
  <c r="T25" i="12"/>
  <c r="F90" i="9"/>
  <c r="F99" i="9"/>
  <c r="R25" i="8"/>
  <c r="E90" i="9"/>
  <c r="E99" i="9"/>
  <c r="R25" i="7"/>
  <c r="D90" i="9"/>
  <c r="D99" i="9"/>
  <c r="R25" i="1"/>
  <c r="C90" i="9"/>
  <c r="C99" i="9"/>
  <c r="R25" i="12"/>
  <c r="B90" i="9"/>
  <c r="B99" i="9"/>
  <c r="T24" i="8"/>
  <c r="I89" i="9"/>
  <c r="I98" i="9"/>
  <c r="T24" i="7"/>
  <c r="H89" i="9"/>
  <c r="H98" i="9"/>
  <c r="T24" i="1"/>
  <c r="G89" i="9"/>
  <c r="G98" i="9"/>
  <c r="T24" i="12"/>
  <c r="F89" i="9"/>
  <c r="F98" i="9"/>
  <c r="R24" i="8"/>
  <c r="E89" i="9"/>
  <c r="E98" i="9"/>
  <c r="R24" i="7"/>
  <c r="D89" i="9"/>
  <c r="D98" i="9"/>
  <c r="R24" i="1"/>
  <c r="C89" i="9"/>
  <c r="C98" i="9"/>
  <c r="R24" i="12"/>
  <c r="B89" i="9"/>
  <c r="B98" i="9"/>
  <c r="T40" i="1"/>
  <c r="S27" i="1"/>
  <c r="L9" i="1"/>
  <c r="L10" i="1"/>
  <c r="L11" i="1"/>
  <c r="L12" i="1"/>
  <c r="L6" i="1"/>
  <c r="L7" i="1"/>
  <c r="L8" i="1"/>
  <c r="L13" i="1"/>
  <c r="L14" i="1"/>
  <c r="L15" i="1"/>
  <c r="L16" i="1"/>
  <c r="L17" i="1"/>
  <c r="L18" i="1"/>
  <c r="L19" i="1"/>
  <c r="L20" i="1"/>
  <c r="S7" i="1"/>
  <c r="L81" i="1"/>
  <c r="S8" i="1"/>
  <c r="S9" i="1"/>
  <c r="S10" i="1"/>
  <c r="L78" i="1"/>
  <c r="L79" i="1"/>
  <c r="L80" i="1"/>
  <c r="S11" i="1"/>
  <c r="L82" i="1"/>
  <c r="S12" i="1"/>
  <c r="L83" i="1"/>
  <c r="L84" i="1"/>
  <c r="S13" i="1"/>
  <c r="L85" i="1"/>
  <c r="S14" i="1"/>
  <c r="S15" i="1"/>
  <c r="L86" i="1"/>
  <c r="S16" i="1"/>
  <c r="L87" i="1"/>
  <c r="S17" i="1"/>
  <c r="S18" i="1"/>
  <c r="S19" i="1"/>
  <c r="L88" i="1"/>
  <c r="S20" i="1"/>
  <c r="S21" i="1"/>
  <c r="S22" i="1"/>
  <c r="S23" i="1"/>
  <c r="S40" i="1"/>
  <c r="R40" i="1"/>
  <c r="T39" i="1"/>
  <c r="S26" i="1"/>
  <c r="S39" i="1"/>
  <c r="R39" i="1"/>
  <c r="T38" i="1"/>
  <c r="S25" i="1"/>
  <c r="S38" i="1"/>
  <c r="R38" i="1"/>
  <c r="T37" i="1"/>
  <c r="S24" i="1"/>
  <c r="S37" i="1"/>
  <c r="R37" i="1"/>
  <c r="S27" i="12"/>
  <c r="L9" i="12"/>
  <c r="L10" i="12"/>
  <c r="L11" i="12"/>
  <c r="L12" i="12"/>
  <c r="L6" i="12"/>
  <c r="L7" i="12"/>
  <c r="L8" i="12"/>
  <c r="L13" i="12"/>
  <c r="L14" i="12"/>
  <c r="L15" i="12"/>
  <c r="L16" i="12"/>
  <c r="L17" i="12"/>
  <c r="L18" i="12"/>
  <c r="L19" i="12"/>
  <c r="L20" i="12"/>
  <c r="S7" i="12"/>
  <c r="L81" i="12"/>
  <c r="S8" i="12"/>
  <c r="S9" i="12"/>
  <c r="S10" i="12"/>
  <c r="L78" i="12"/>
  <c r="L79" i="12"/>
  <c r="L80" i="12"/>
  <c r="S11" i="12"/>
  <c r="L82" i="12"/>
  <c r="S12" i="12"/>
  <c r="L83" i="12"/>
  <c r="L84" i="12"/>
  <c r="S13" i="12"/>
  <c r="L85" i="12"/>
  <c r="S14" i="12"/>
  <c r="S15" i="12"/>
  <c r="L86" i="12"/>
  <c r="S16" i="12"/>
  <c r="L87" i="12"/>
  <c r="S17" i="12"/>
  <c r="S18" i="12"/>
  <c r="S19" i="12"/>
  <c r="L88" i="12"/>
  <c r="S20" i="12"/>
  <c r="S21" i="12"/>
  <c r="S22" i="12"/>
  <c r="S23" i="12"/>
  <c r="S40" i="12"/>
  <c r="T40" i="12"/>
  <c r="R40" i="12"/>
  <c r="S26" i="12"/>
  <c r="S39" i="12"/>
  <c r="T39" i="12"/>
  <c r="R39" i="12"/>
  <c r="S25" i="12"/>
  <c r="S38" i="12"/>
  <c r="T38" i="12"/>
  <c r="R38" i="12"/>
  <c r="S24" i="12"/>
  <c r="S37" i="12"/>
  <c r="T37" i="12"/>
  <c r="R37" i="12"/>
  <c r="AG69" i="1"/>
  <c r="AE69" i="1"/>
  <c r="AC69" i="1"/>
  <c r="AA69" i="1"/>
  <c r="F58" i="7"/>
  <c r="F58" i="8"/>
  <c r="H58" i="8"/>
  <c r="F59" i="7"/>
  <c r="F59" i="8"/>
  <c r="H59" i="8"/>
  <c r="F60" i="7"/>
  <c r="F60" i="8"/>
  <c r="H60" i="8"/>
  <c r="AH69" i="1"/>
  <c r="F57" i="7"/>
  <c r="F57" i="8"/>
  <c r="H57" i="8"/>
  <c r="T35" i="8"/>
  <c r="S35" i="8"/>
  <c r="R35" i="8"/>
  <c r="T34" i="8"/>
  <c r="S34" i="8"/>
  <c r="R34" i="8"/>
  <c r="T33" i="8"/>
  <c r="S33" i="8"/>
  <c r="R33" i="8"/>
  <c r="T32" i="8"/>
  <c r="S32" i="8"/>
  <c r="R32" i="8"/>
  <c r="H58" i="7"/>
  <c r="H59" i="7"/>
  <c r="H60" i="7"/>
  <c r="H57" i="7"/>
  <c r="T35" i="7"/>
  <c r="S35" i="7"/>
  <c r="R35" i="7"/>
  <c r="T34" i="7"/>
  <c r="S34" i="7"/>
  <c r="R34" i="7"/>
  <c r="T33" i="7"/>
  <c r="S33" i="7"/>
  <c r="R33" i="7"/>
  <c r="T32" i="7"/>
  <c r="S32" i="7"/>
  <c r="R32" i="7"/>
  <c r="H58" i="1"/>
  <c r="H59" i="1"/>
  <c r="H60" i="1"/>
  <c r="H57" i="1"/>
  <c r="T35" i="1"/>
  <c r="S35" i="1"/>
  <c r="R35" i="1"/>
  <c r="T34" i="1"/>
  <c r="S34" i="1"/>
  <c r="R34" i="1"/>
  <c r="T33" i="1"/>
  <c r="S33" i="1"/>
  <c r="R33" i="1"/>
  <c r="T32" i="1"/>
  <c r="S32" i="1"/>
  <c r="R32" i="1"/>
  <c r="F58" i="12"/>
  <c r="H58" i="12"/>
  <c r="F59" i="12"/>
  <c r="H59" i="12"/>
  <c r="F60" i="12"/>
  <c r="H60" i="12"/>
  <c r="F57" i="12"/>
  <c r="H57" i="12"/>
  <c r="T35" i="12"/>
  <c r="S35" i="12"/>
  <c r="R35" i="12"/>
  <c r="T34" i="12"/>
  <c r="S34" i="12"/>
  <c r="R34" i="12"/>
  <c r="T33" i="12"/>
  <c r="S33" i="12"/>
  <c r="R33" i="12"/>
  <c r="T32" i="12"/>
  <c r="S32" i="12"/>
  <c r="R32" i="12"/>
  <c r="S27" i="8"/>
  <c r="S26" i="8"/>
  <c r="S25" i="8"/>
  <c r="S24" i="8"/>
  <c r="S27" i="7"/>
  <c r="S26" i="7"/>
  <c r="S25" i="7"/>
  <c r="S24" i="7"/>
  <c r="E32" i="1"/>
  <c r="K107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L101" i="1"/>
  <c r="L107" i="1"/>
  <c r="L106" i="1"/>
  <c r="B101" i="1"/>
  <c r="B22" i="1"/>
  <c r="K22" i="1"/>
  <c r="L22" i="1"/>
  <c r="K21" i="1"/>
  <c r="L21" i="1"/>
  <c r="L24" i="1"/>
  <c r="J25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6" i="1"/>
  <c r="B110" i="1"/>
  <c r="K110" i="1"/>
  <c r="L110" i="1"/>
  <c r="L109" i="1"/>
  <c r="L108" i="1"/>
  <c r="L113" i="1"/>
  <c r="E57" i="7"/>
  <c r="F9" i="7"/>
  <c r="E58" i="7"/>
  <c r="E59" i="7"/>
  <c r="E60" i="7"/>
  <c r="E21" i="7"/>
  <c r="H21" i="7"/>
  <c r="E20" i="7"/>
  <c r="H20" i="7"/>
  <c r="H96" i="9"/>
  <c r="G96" i="9"/>
  <c r="E57" i="12"/>
  <c r="F9" i="12"/>
  <c r="E58" i="12"/>
  <c r="E59" i="12"/>
  <c r="E60" i="12"/>
  <c r="E21" i="12"/>
  <c r="H21" i="12"/>
  <c r="E20" i="12"/>
  <c r="H20" i="12"/>
  <c r="F96" i="9"/>
  <c r="E57" i="8"/>
  <c r="F9" i="8"/>
  <c r="E58" i="8"/>
  <c r="E59" i="8"/>
  <c r="E21" i="8"/>
  <c r="H21" i="8"/>
  <c r="E20" i="8"/>
  <c r="H20" i="8"/>
  <c r="I95" i="9"/>
  <c r="H95" i="9"/>
  <c r="G95" i="9"/>
  <c r="F95" i="9"/>
  <c r="I94" i="9"/>
  <c r="H94" i="9"/>
  <c r="G94" i="9"/>
  <c r="F94" i="9"/>
  <c r="H93" i="9"/>
  <c r="G93" i="9"/>
  <c r="F93" i="9"/>
  <c r="E60" i="8"/>
  <c r="U27" i="8"/>
  <c r="U26" i="8"/>
  <c r="U25" i="8"/>
  <c r="U24" i="8"/>
  <c r="U27" i="7"/>
  <c r="U26" i="7"/>
  <c r="U25" i="7"/>
  <c r="U24" i="7"/>
  <c r="U27" i="12"/>
  <c r="U26" i="12"/>
  <c r="U25" i="12"/>
  <c r="U24" i="12"/>
  <c r="A96" i="9"/>
  <c r="A95" i="9"/>
  <c r="A94" i="9"/>
  <c r="A93" i="9"/>
  <c r="A92" i="9"/>
  <c r="A91" i="9"/>
  <c r="U27" i="1"/>
  <c r="U26" i="1"/>
  <c r="U25" i="1"/>
  <c r="U24" i="1"/>
  <c r="I96" i="9"/>
  <c r="E19" i="7"/>
  <c r="E19" i="8"/>
  <c r="H19" i="8"/>
  <c r="E29" i="7"/>
  <c r="E29" i="8"/>
  <c r="F29" i="7"/>
  <c r="F29" i="8"/>
  <c r="E30" i="7"/>
  <c r="E30" i="8"/>
  <c r="F30" i="7"/>
  <c r="F30" i="8"/>
  <c r="E31" i="7"/>
  <c r="E31" i="8"/>
  <c r="F31" i="7"/>
  <c r="F31" i="8"/>
  <c r="E32" i="7"/>
  <c r="E32" i="8"/>
  <c r="F32" i="7"/>
  <c r="F32" i="8"/>
  <c r="E33" i="7"/>
  <c r="E33" i="8"/>
  <c r="F33" i="7"/>
  <c r="F33" i="8"/>
  <c r="E34" i="7"/>
  <c r="E34" i="8"/>
  <c r="F34" i="7"/>
  <c r="F34" i="8"/>
  <c r="E35" i="7"/>
  <c r="E35" i="8"/>
  <c r="F35" i="7"/>
  <c r="F35" i="8"/>
  <c r="E36" i="7"/>
  <c r="E36" i="8"/>
  <c r="F36" i="7"/>
  <c r="F36" i="8"/>
  <c r="E37" i="7"/>
  <c r="E37" i="8"/>
  <c r="F37" i="7"/>
  <c r="F37" i="8"/>
  <c r="E38" i="7"/>
  <c r="E38" i="8"/>
  <c r="F38" i="7"/>
  <c r="F38" i="8"/>
  <c r="E39" i="7"/>
  <c r="E39" i="8"/>
  <c r="F39" i="7"/>
  <c r="F39" i="8"/>
  <c r="E40" i="7"/>
  <c r="E40" i="8"/>
  <c r="F40" i="7"/>
  <c r="F40" i="8"/>
  <c r="E41" i="7"/>
  <c r="E41" i="8"/>
  <c r="F41" i="7"/>
  <c r="F41" i="8"/>
  <c r="E42" i="7"/>
  <c r="E42" i="8"/>
  <c r="F42" i="7"/>
  <c r="F42" i="8"/>
  <c r="E43" i="7"/>
  <c r="E43" i="8"/>
  <c r="F43" i="7"/>
  <c r="F43" i="8"/>
  <c r="E44" i="7"/>
  <c r="E44" i="8"/>
  <c r="F44" i="7"/>
  <c r="F44" i="8"/>
  <c r="E45" i="7"/>
  <c r="E45" i="8"/>
  <c r="F45" i="7"/>
  <c r="F45" i="8"/>
  <c r="E46" i="7"/>
  <c r="E46" i="8"/>
  <c r="F46" i="7"/>
  <c r="F46" i="8"/>
  <c r="E47" i="7"/>
  <c r="E47" i="8"/>
  <c r="F47" i="7"/>
  <c r="F47" i="8"/>
  <c r="E48" i="7"/>
  <c r="E48" i="8"/>
  <c r="F48" i="7"/>
  <c r="F48" i="8"/>
  <c r="E49" i="7"/>
  <c r="E49" i="8"/>
  <c r="F49" i="7"/>
  <c r="F49" i="8"/>
  <c r="E50" i="7"/>
  <c r="E50" i="8"/>
  <c r="F50" i="7"/>
  <c r="F50" i="8"/>
  <c r="E51" i="7"/>
  <c r="E51" i="8"/>
  <c r="F51" i="7"/>
  <c r="F51" i="8"/>
  <c r="E22" i="7"/>
  <c r="E22" i="8"/>
  <c r="E7" i="7"/>
  <c r="E7" i="8"/>
  <c r="H7" i="8"/>
  <c r="E8" i="7"/>
  <c r="E8" i="8"/>
  <c r="H8" i="8"/>
  <c r="E9" i="7"/>
  <c r="E9" i="8"/>
  <c r="H9" i="8"/>
  <c r="E10" i="7"/>
  <c r="E10" i="8"/>
  <c r="H10" i="8"/>
  <c r="E11" i="7"/>
  <c r="E11" i="8"/>
  <c r="H11" i="8"/>
  <c r="E12" i="7"/>
  <c r="E12" i="8"/>
  <c r="H12" i="8"/>
  <c r="E13" i="7"/>
  <c r="E13" i="8"/>
  <c r="H13" i="8"/>
  <c r="E14" i="7"/>
  <c r="E14" i="8"/>
  <c r="H14" i="8"/>
  <c r="E15" i="7"/>
  <c r="E15" i="8"/>
  <c r="H15" i="8"/>
  <c r="E16" i="7"/>
  <c r="E16" i="8"/>
  <c r="H16" i="8"/>
  <c r="E17" i="7"/>
  <c r="E17" i="8"/>
  <c r="H17" i="8"/>
  <c r="E6" i="7"/>
  <c r="E6" i="8"/>
  <c r="H6" i="8"/>
  <c r="E18" i="7"/>
  <c r="E18" i="8"/>
  <c r="H18" i="8"/>
  <c r="J21" i="8"/>
  <c r="B24" i="8"/>
  <c r="J22" i="8"/>
  <c r="J23" i="8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B24" i="7"/>
  <c r="J21" i="7"/>
  <c r="J22" i="7"/>
  <c r="J23" i="7"/>
  <c r="E19" i="12"/>
  <c r="H19" i="12"/>
  <c r="E29" i="12"/>
  <c r="F29" i="12"/>
  <c r="E30" i="12"/>
  <c r="F30" i="12"/>
  <c r="E31" i="12"/>
  <c r="F31" i="12"/>
  <c r="E32" i="12"/>
  <c r="F32" i="12"/>
  <c r="E33" i="12"/>
  <c r="F33" i="12"/>
  <c r="E34" i="12"/>
  <c r="F34" i="12"/>
  <c r="E35" i="12"/>
  <c r="F35" i="12"/>
  <c r="E36" i="12"/>
  <c r="F36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22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6" i="12"/>
  <c r="H6" i="12"/>
  <c r="E18" i="12"/>
  <c r="H18" i="12"/>
  <c r="K21" i="12"/>
  <c r="L21" i="12"/>
  <c r="K89" i="12"/>
  <c r="L89" i="12"/>
  <c r="K90" i="12"/>
  <c r="L90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L101" i="12"/>
  <c r="L106" i="12"/>
  <c r="B101" i="12"/>
  <c r="B22" i="12"/>
  <c r="K22" i="12"/>
  <c r="L22" i="12"/>
  <c r="L24" i="12"/>
  <c r="K107" i="12"/>
  <c r="L107" i="12"/>
  <c r="J25" i="12"/>
  <c r="J21" i="12"/>
  <c r="B24" i="12"/>
  <c r="J22" i="12"/>
  <c r="J23" i="12"/>
  <c r="J21" i="1"/>
  <c r="B24" i="1"/>
  <c r="J22" i="1"/>
  <c r="J23" i="1"/>
  <c r="S18" i="8"/>
  <c r="S20" i="8"/>
  <c r="S7" i="8"/>
  <c r="S8" i="8"/>
  <c r="S9" i="8"/>
  <c r="S10" i="8"/>
  <c r="S11" i="8"/>
  <c r="S12" i="8"/>
  <c r="S13" i="8"/>
  <c r="S14" i="8"/>
  <c r="S15" i="8"/>
  <c r="S16" i="8"/>
  <c r="S17" i="8"/>
  <c r="S19" i="8"/>
  <c r="S21" i="8"/>
  <c r="S22" i="8"/>
  <c r="S23" i="8"/>
  <c r="B112" i="8"/>
  <c r="L57" i="8"/>
  <c r="L58" i="8"/>
  <c r="B110" i="8"/>
  <c r="K110" i="8"/>
  <c r="L110" i="8"/>
  <c r="L108" i="8"/>
  <c r="L59" i="8"/>
  <c r="L109" i="8"/>
  <c r="L60" i="8"/>
  <c r="L61" i="8"/>
  <c r="L112" i="8"/>
  <c r="L111" i="8"/>
  <c r="L62" i="8"/>
  <c r="L63" i="8"/>
  <c r="B52" i="8"/>
  <c r="B63" i="8"/>
  <c r="K57" i="8"/>
  <c r="K58" i="8"/>
  <c r="K59" i="8"/>
  <c r="K60" i="8"/>
  <c r="B61" i="8"/>
  <c r="K61" i="8"/>
  <c r="B62" i="8"/>
  <c r="K62" i="8"/>
  <c r="K63" i="8"/>
  <c r="I112" i="8"/>
  <c r="I63" i="8"/>
  <c r="I61" i="8"/>
  <c r="I109" i="8"/>
  <c r="I60" i="8"/>
  <c r="I108" i="8"/>
  <c r="I59" i="8"/>
  <c r="I58" i="8"/>
  <c r="I57" i="8"/>
  <c r="K112" i="8"/>
  <c r="B111" i="8"/>
  <c r="K111" i="8"/>
  <c r="K109" i="8"/>
  <c r="K108" i="8"/>
  <c r="K106" i="8"/>
  <c r="L112" i="7"/>
  <c r="B112" i="7"/>
  <c r="K112" i="7"/>
  <c r="I112" i="7"/>
  <c r="B110" i="7"/>
  <c r="K110" i="7"/>
  <c r="L110" i="7"/>
  <c r="L108" i="7"/>
  <c r="L109" i="7"/>
  <c r="L111" i="7"/>
  <c r="B111" i="7"/>
  <c r="K111" i="7"/>
  <c r="J110" i="7"/>
  <c r="M110" i="7"/>
  <c r="K109" i="7"/>
  <c r="I109" i="7"/>
  <c r="K108" i="7"/>
  <c r="I108" i="7"/>
  <c r="K106" i="7"/>
  <c r="L57" i="7"/>
  <c r="L58" i="7"/>
  <c r="L59" i="7"/>
  <c r="L60" i="7"/>
  <c r="L61" i="7"/>
  <c r="L62" i="7"/>
  <c r="L63" i="7"/>
  <c r="B52" i="7"/>
  <c r="B63" i="7"/>
  <c r="K57" i="7"/>
  <c r="K58" i="7"/>
  <c r="K59" i="7"/>
  <c r="K60" i="7"/>
  <c r="B61" i="7"/>
  <c r="K61" i="7"/>
  <c r="B62" i="7"/>
  <c r="K62" i="7"/>
  <c r="K63" i="7"/>
  <c r="I63" i="7"/>
  <c r="J61" i="7"/>
  <c r="M61" i="7"/>
  <c r="I61" i="7"/>
  <c r="I60" i="7"/>
  <c r="I59" i="7"/>
  <c r="I58" i="7"/>
  <c r="I57" i="7"/>
  <c r="B112" i="12"/>
  <c r="B110" i="12"/>
  <c r="B111" i="12"/>
  <c r="B112" i="1"/>
  <c r="B111" i="1"/>
  <c r="B52" i="1"/>
  <c r="B63" i="1"/>
  <c r="B61" i="1"/>
  <c r="B62" i="1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10" i="12"/>
  <c r="J108" i="12"/>
  <c r="M108" i="12"/>
  <c r="J109" i="12"/>
  <c r="M109" i="12"/>
  <c r="M113" i="12"/>
  <c r="K110" i="12"/>
  <c r="L110" i="12"/>
  <c r="L108" i="12"/>
  <c r="L109" i="12"/>
  <c r="L113" i="12"/>
  <c r="J113" i="12"/>
  <c r="J112" i="12"/>
  <c r="M112" i="12"/>
  <c r="L112" i="12"/>
  <c r="K112" i="12"/>
  <c r="I112" i="12"/>
  <c r="J106" i="12"/>
  <c r="J107" i="12"/>
  <c r="J111" i="12"/>
  <c r="M111" i="12"/>
  <c r="L111" i="12"/>
  <c r="K111" i="12"/>
  <c r="M110" i="12"/>
  <c r="K109" i="12"/>
  <c r="I109" i="12"/>
  <c r="K108" i="12"/>
  <c r="I108" i="12"/>
  <c r="M107" i="12"/>
  <c r="M106" i="12"/>
  <c r="K106" i="12"/>
  <c r="J64" i="12"/>
  <c r="B52" i="12"/>
  <c r="B63" i="12"/>
  <c r="M64" i="12"/>
  <c r="L64" i="12"/>
  <c r="I64" i="12"/>
  <c r="J57" i="12"/>
  <c r="M57" i="12"/>
  <c r="J58" i="12"/>
  <c r="M58" i="12"/>
  <c r="J59" i="12"/>
  <c r="M59" i="12"/>
  <c r="J60" i="12"/>
  <c r="M60" i="12"/>
  <c r="J61" i="12"/>
  <c r="M61" i="12"/>
  <c r="J62" i="12"/>
  <c r="M62" i="12"/>
  <c r="M63" i="12"/>
  <c r="L57" i="12"/>
  <c r="L58" i="12"/>
  <c r="L59" i="12"/>
  <c r="L60" i="12"/>
  <c r="L61" i="12"/>
  <c r="L62" i="12"/>
  <c r="L63" i="12"/>
  <c r="K57" i="12"/>
  <c r="K58" i="12"/>
  <c r="K59" i="12"/>
  <c r="K60" i="12"/>
  <c r="B61" i="12"/>
  <c r="K61" i="12"/>
  <c r="B62" i="12"/>
  <c r="K62" i="12"/>
  <c r="K63" i="12"/>
  <c r="J63" i="12"/>
  <c r="I63" i="12"/>
  <c r="I61" i="12"/>
  <c r="I60" i="12"/>
  <c r="I59" i="12"/>
  <c r="I58" i="12"/>
  <c r="I57" i="12"/>
  <c r="A90" i="9"/>
  <c r="A89" i="9"/>
  <c r="K59" i="1"/>
  <c r="L59" i="1"/>
  <c r="J110" i="1"/>
  <c r="J108" i="1"/>
  <c r="J59" i="1"/>
  <c r="M59" i="1"/>
  <c r="K60" i="1"/>
  <c r="L60" i="1"/>
  <c r="J109" i="1"/>
  <c r="J60" i="1"/>
  <c r="M60" i="1"/>
  <c r="I108" i="1"/>
  <c r="I59" i="1"/>
  <c r="I109" i="1"/>
  <c r="I60" i="1"/>
  <c r="M108" i="1"/>
  <c r="M109" i="1"/>
  <c r="M113" i="1"/>
  <c r="J113" i="1"/>
  <c r="J112" i="1"/>
  <c r="M112" i="1"/>
  <c r="L112" i="1"/>
  <c r="K112" i="1"/>
  <c r="I112" i="1"/>
  <c r="J107" i="1"/>
  <c r="J111" i="1"/>
  <c r="M111" i="1"/>
  <c r="L111" i="1"/>
  <c r="K111" i="1"/>
  <c r="M110" i="1"/>
  <c r="K109" i="1"/>
  <c r="K108" i="1"/>
  <c r="M107" i="1"/>
  <c r="M106" i="1"/>
  <c r="K106" i="1"/>
  <c r="B66" i="8"/>
  <c r="B66" i="7"/>
  <c r="B66" i="12"/>
  <c r="B66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9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6" i="1"/>
  <c r="B23" i="8"/>
  <c r="B23" i="7"/>
  <c r="B23" i="12"/>
  <c r="B23" i="1"/>
  <c r="E2" i="13"/>
  <c r="D2" i="13"/>
  <c r="C2" i="13"/>
  <c r="B2" i="13"/>
  <c r="B74" i="8"/>
  <c r="B74" i="7"/>
  <c r="B74" i="1"/>
  <c r="B74" i="12"/>
  <c r="A1" i="1"/>
  <c r="B22" i="13"/>
  <c r="C22" i="13"/>
  <c r="D22" i="13"/>
  <c r="E22" i="13"/>
  <c r="E23" i="13"/>
  <c r="F107" i="13"/>
  <c r="F119" i="13"/>
  <c r="C16" i="13"/>
  <c r="B16" i="13"/>
  <c r="AE16" i="13"/>
  <c r="D23" i="13"/>
  <c r="E24" i="13"/>
  <c r="C23" i="13"/>
  <c r="D24" i="13"/>
  <c r="B23" i="13"/>
  <c r="C24" i="13"/>
  <c r="B24" i="13"/>
  <c r="R19" i="13"/>
  <c r="S19" i="13"/>
  <c r="B107" i="13"/>
  <c r="B109" i="13"/>
  <c r="F117" i="13"/>
  <c r="D81" i="9"/>
  <c r="D33" i="13"/>
  <c r="C81" i="9"/>
  <c r="C33" i="13"/>
  <c r="BU50" i="13"/>
  <c r="D116" i="13"/>
  <c r="F116" i="13"/>
  <c r="E73" i="9"/>
  <c r="E26" i="13"/>
  <c r="D73" i="9"/>
  <c r="D26" i="13"/>
  <c r="CR43" i="13"/>
  <c r="E109" i="13"/>
  <c r="E74" i="9"/>
  <c r="E27" i="13"/>
  <c r="D74" i="9"/>
  <c r="D27" i="13"/>
  <c r="CR44" i="13"/>
  <c r="E110" i="13"/>
  <c r="E75" i="9"/>
  <c r="E28" i="13"/>
  <c r="D75" i="9"/>
  <c r="D28" i="13"/>
  <c r="CR45" i="13"/>
  <c r="E111" i="13"/>
  <c r="E76" i="9"/>
  <c r="E29" i="13"/>
  <c r="D76" i="9"/>
  <c r="D29" i="13"/>
  <c r="CR46" i="13"/>
  <c r="E112" i="13"/>
  <c r="E77" i="9"/>
  <c r="E30" i="13"/>
  <c r="D77" i="9"/>
  <c r="D30" i="13"/>
  <c r="CR47" i="13"/>
  <c r="E113" i="13"/>
  <c r="E78" i="9"/>
  <c r="E31" i="13"/>
  <c r="D78" i="9"/>
  <c r="D31" i="13"/>
  <c r="CR48" i="13"/>
  <c r="E114" i="13"/>
  <c r="E79" i="9"/>
  <c r="E32" i="13"/>
  <c r="D79" i="9"/>
  <c r="D32" i="13"/>
  <c r="CR49" i="13"/>
  <c r="E115" i="13"/>
  <c r="E81" i="9"/>
  <c r="E33" i="13"/>
  <c r="CR50" i="13"/>
  <c r="E116" i="13"/>
  <c r="E82" i="9"/>
  <c r="E34" i="13"/>
  <c r="D82" i="9"/>
  <c r="D34" i="13"/>
  <c r="CR51" i="13"/>
  <c r="E117" i="13"/>
  <c r="E83" i="9"/>
  <c r="E35" i="13"/>
  <c r="D83" i="9"/>
  <c r="D35" i="13"/>
  <c r="CR52" i="13"/>
  <c r="E118" i="13"/>
  <c r="E85" i="9"/>
  <c r="E36" i="13"/>
  <c r="D85" i="9"/>
  <c r="D36" i="13"/>
  <c r="CR53" i="13"/>
  <c r="E119" i="13"/>
  <c r="E86" i="9"/>
  <c r="E37" i="13"/>
  <c r="D86" i="9"/>
  <c r="D37" i="13"/>
  <c r="CR54" i="13"/>
  <c r="E120" i="13"/>
  <c r="E72" i="9"/>
  <c r="E25" i="13"/>
  <c r="D72" i="9"/>
  <c r="D25" i="13"/>
  <c r="CR42" i="13"/>
  <c r="E108" i="13"/>
  <c r="C73" i="9"/>
  <c r="C26" i="13"/>
  <c r="BU43" i="13"/>
  <c r="D109" i="13"/>
  <c r="C74" i="9"/>
  <c r="C27" i="13"/>
  <c r="BU44" i="13"/>
  <c r="D110" i="13"/>
  <c r="C75" i="9"/>
  <c r="C28" i="13"/>
  <c r="BU45" i="13"/>
  <c r="D111" i="13"/>
  <c r="C76" i="9"/>
  <c r="C29" i="13"/>
  <c r="BU46" i="13"/>
  <c r="D112" i="13"/>
  <c r="C77" i="9"/>
  <c r="C30" i="13"/>
  <c r="BU47" i="13"/>
  <c r="D113" i="13"/>
  <c r="C78" i="9"/>
  <c r="C31" i="13"/>
  <c r="BU48" i="13"/>
  <c r="D114" i="13"/>
  <c r="C79" i="9"/>
  <c r="C32" i="13"/>
  <c r="BU49" i="13"/>
  <c r="D115" i="13"/>
  <c r="C82" i="9"/>
  <c r="C34" i="13"/>
  <c r="BU51" i="13"/>
  <c r="D117" i="13"/>
  <c r="C83" i="9"/>
  <c r="C35" i="13"/>
  <c r="BU52" i="13"/>
  <c r="D118" i="13"/>
  <c r="C85" i="9"/>
  <c r="C36" i="13"/>
  <c r="BU53" i="13"/>
  <c r="D119" i="13"/>
  <c r="C86" i="9"/>
  <c r="C37" i="13"/>
  <c r="BU54" i="13"/>
  <c r="D120" i="13"/>
  <c r="C72" i="9"/>
  <c r="C25" i="13"/>
  <c r="BU42" i="13"/>
  <c r="D108" i="13"/>
  <c r="B74" i="9"/>
  <c r="B27" i="13"/>
  <c r="AD44" i="13"/>
  <c r="C110" i="13"/>
  <c r="B75" i="9"/>
  <c r="B28" i="13"/>
  <c r="AD45" i="13"/>
  <c r="C111" i="13"/>
  <c r="B76" i="9"/>
  <c r="B29" i="13"/>
  <c r="AD46" i="13"/>
  <c r="C112" i="13"/>
  <c r="B77" i="9"/>
  <c r="B30" i="13"/>
  <c r="AD47" i="13"/>
  <c r="C113" i="13"/>
  <c r="B78" i="9"/>
  <c r="B31" i="13"/>
  <c r="AD48" i="13"/>
  <c r="C114" i="13"/>
  <c r="B79" i="9"/>
  <c r="B32" i="13"/>
  <c r="AD49" i="13"/>
  <c r="C115" i="13"/>
  <c r="B81" i="9"/>
  <c r="B33" i="13"/>
  <c r="AD50" i="13"/>
  <c r="C116" i="13"/>
  <c r="B82" i="9"/>
  <c r="B34" i="13"/>
  <c r="AD51" i="13"/>
  <c r="C117" i="13"/>
  <c r="B83" i="9"/>
  <c r="B35" i="13"/>
  <c r="AD52" i="13"/>
  <c r="C118" i="13"/>
  <c r="B85" i="9"/>
  <c r="B36" i="13"/>
  <c r="AD53" i="13"/>
  <c r="C119" i="13"/>
  <c r="B86" i="9"/>
  <c r="B37" i="13"/>
  <c r="AD54" i="13"/>
  <c r="C120" i="13"/>
  <c r="B73" i="9"/>
  <c r="B26" i="13"/>
  <c r="AD43" i="13"/>
  <c r="C109" i="13"/>
  <c r="B72" i="9"/>
  <c r="B25" i="13"/>
  <c r="AD42" i="13"/>
  <c r="C108" i="13"/>
  <c r="F115" i="13"/>
  <c r="BI48" i="13"/>
  <c r="F110" i="13"/>
  <c r="F109" i="13"/>
  <c r="DA43" i="13"/>
  <c r="DA60" i="13"/>
  <c r="F108" i="13"/>
  <c r="S25" i="13"/>
  <c r="F25" i="13"/>
  <c r="M94" i="1"/>
  <c r="M90" i="1"/>
  <c r="M91" i="1"/>
  <c r="M92" i="1"/>
  <c r="M89" i="1"/>
  <c r="M93" i="1"/>
  <c r="M95" i="1"/>
  <c r="M96" i="1"/>
  <c r="M97" i="1"/>
  <c r="M98" i="1"/>
  <c r="M99" i="1"/>
  <c r="M100" i="1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C24" i="7"/>
  <c r="D31" i="1"/>
  <c r="H31" i="1"/>
  <c r="I31" i="1"/>
  <c r="D32" i="1"/>
  <c r="H32" i="1"/>
  <c r="I32" i="1"/>
  <c r="D36" i="1"/>
  <c r="H36" i="1"/>
  <c r="I36" i="1"/>
  <c r="D37" i="1"/>
  <c r="H37" i="1"/>
  <c r="I37" i="1"/>
  <c r="D38" i="1"/>
  <c r="H38" i="1"/>
  <c r="I38" i="1"/>
  <c r="D39" i="1"/>
  <c r="H39" i="1"/>
  <c r="I39" i="1"/>
  <c r="D41" i="1"/>
  <c r="H41" i="1"/>
  <c r="I41" i="1"/>
  <c r="D50" i="1"/>
  <c r="H50" i="1"/>
  <c r="I50" i="1"/>
  <c r="A7" i="8"/>
  <c r="A9" i="12"/>
  <c r="A11" i="7"/>
  <c r="A13" i="8"/>
  <c r="A15" i="7"/>
  <c r="A17" i="8"/>
  <c r="A21" i="12"/>
  <c r="A20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12"/>
  <c r="AC7" i="12"/>
  <c r="AC7" i="1"/>
  <c r="X7" i="7"/>
  <c r="AC7" i="7"/>
  <c r="X7" i="8"/>
  <c r="AC7" i="8"/>
  <c r="X11" i="8"/>
  <c r="X33" i="8"/>
  <c r="X9" i="8"/>
  <c r="X32" i="8"/>
  <c r="X8" i="8"/>
  <c r="X31" i="8"/>
  <c r="X11" i="7"/>
  <c r="X33" i="7"/>
  <c r="X9" i="7"/>
  <c r="X32" i="7"/>
  <c r="X8" i="7"/>
  <c r="X31" i="7"/>
  <c r="X11" i="12"/>
  <c r="X33" i="12"/>
  <c r="X9" i="12"/>
  <c r="X32" i="12"/>
  <c r="X8" i="12"/>
  <c r="AG69" i="8"/>
  <c r="AE69" i="8"/>
  <c r="AC69" i="8"/>
  <c r="AA69" i="8"/>
  <c r="AD58" i="8"/>
  <c r="AB58" i="8"/>
  <c r="Z58" i="8"/>
  <c r="AF57" i="1"/>
  <c r="AF57" i="8"/>
  <c r="AD57" i="8"/>
  <c r="AB57" i="8"/>
  <c r="Z57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41" i="8"/>
  <c r="AB41" i="8"/>
  <c r="Z41" i="8"/>
  <c r="AD40" i="8"/>
  <c r="AB40" i="8"/>
  <c r="Z40" i="8"/>
  <c r="AD39" i="8"/>
  <c r="AB39" i="8"/>
  <c r="Z39" i="8"/>
  <c r="AD38" i="8"/>
  <c r="AB38" i="8"/>
  <c r="Z38" i="8"/>
  <c r="AD37" i="8"/>
  <c r="AB37" i="8"/>
  <c r="Z37" i="8"/>
  <c r="AD36" i="8"/>
  <c r="AB36" i="8"/>
  <c r="Z36" i="8"/>
  <c r="AD35" i="8"/>
  <c r="AB35" i="8"/>
  <c r="Z35" i="8"/>
  <c r="AD34" i="8"/>
  <c r="AB34" i="8"/>
  <c r="Z34" i="8"/>
  <c r="AD21" i="8"/>
  <c r="AB21" i="8"/>
  <c r="Z21" i="8"/>
  <c r="AD20" i="8"/>
  <c r="AB20" i="8"/>
  <c r="Z20" i="8"/>
  <c r="AD19" i="8"/>
  <c r="AB19" i="8"/>
  <c r="Z19" i="8"/>
  <c r="AD18" i="8"/>
  <c r="AB18" i="8"/>
  <c r="Z18" i="8"/>
  <c r="AD17" i="8"/>
  <c r="AB17" i="8"/>
  <c r="Z17" i="8"/>
  <c r="AD16" i="8"/>
  <c r="AB16" i="8"/>
  <c r="Z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E7" i="8"/>
  <c r="AD6" i="8"/>
  <c r="AB6" i="8"/>
  <c r="Z6" i="8"/>
  <c r="AF1" i="8"/>
  <c r="AD1" i="8"/>
  <c r="AK1" i="8"/>
  <c r="AB1" i="8"/>
  <c r="Z1" i="8"/>
  <c r="AJ1" i="8"/>
  <c r="AG69" i="7"/>
  <c r="AE69" i="7"/>
  <c r="AC69" i="7"/>
  <c r="AA69" i="7"/>
  <c r="AH69" i="7"/>
  <c r="AD58" i="7"/>
  <c r="AB58" i="7"/>
  <c r="Z58" i="7"/>
  <c r="AF57" i="7"/>
  <c r="AD57" i="7"/>
  <c r="AB57" i="7"/>
  <c r="Z57" i="7"/>
  <c r="AD51" i="7"/>
  <c r="AB51" i="7"/>
  <c r="Z51" i="7"/>
  <c r="AD50" i="7"/>
  <c r="AB50" i="7"/>
  <c r="Z50" i="7"/>
  <c r="AD49" i="7"/>
  <c r="AB49" i="7"/>
  <c r="Z49" i="7"/>
  <c r="AD48" i="7"/>
  <c r="AB48" i="7"/>
  <c r="Z48" i="7"/>
  <c r="AD47" i="7"/>
  <c r="AB47" i="7"/>
  <c r="Z47" i="7"/>
  <c r="AD46" i="7"/>
  <c r="AB46" i="7"/>
  <c r="Z46" i="7"/>
  <c r="AD45" i="7"/>
  <c r="AB45" i="7"/>
  <c r="Z45" i="7"/>
  <c r="AD44" i="7"/>
  <c r="AB44" i="7"/>
  <c r="Z44" i="7"/>
  <c r="AD43" i="7"/>
  <c r="AB43" i="7"/>
  <c r="Z43" i="7"/>
  <c r="AD42" i="7"/>
  <c r="AB42" i="7"/>
  <c r="Z42" i="7"/>
  <c r="AD41" i="7"/>
  <c r="AB41" i="7"/>
  <c r="Z41" i="7"/>
  <c r="AD40" i="7"/>
  <c r="AB40" i="7"/>
  <c r="Z40" i="7"/>
  <c r="AD39" i="7"/>
  <c r="AB39" i="7"/>
  <c r="Z39" i="7"/>
  <c r="AD38" i="7"/>
  <c r="AB38" i="7"/>
  <c r="Z38" i="7"/>
  <c r="AD37" i="7"/>
  <c r="AB37" i="7"/>
  <c r="Z37" i="7"/>
  <c r="AD36" i="7"/>
  <c r="AB36" i="7"/>
  <c r="Z36" i="7"/>
  <c r="AD35" i="7"/>
  <c r="AB35" i="7"/>
  <c r="Z35" i="7"/>
  <c r="AD34" i="7"/>
  <c r="AB34" i="7"/>
  <c r="Z34" i="7"/>
  <c r="AD21" i="7"/>
  <c r="AB21" i="7"/>
  <c r="Z21" i="7"/>
  <c r="AD20" i="7"/>
  <c r="AB20" i="7"/>
  <c r="Z20" i="7"/>
  <c r="AD19" i="7"/>
  <c r="AB19" i="7"/>
  <c r="Z19" i="7"/>
  <c r="AD18" i="7"/>
  <c r="AB18" i="7"/>
  <c r="Z18" i="7"/>
  <c r="AD17" i="7"/>
  <c r="AB17" i="7"/>
  <c r="Z17" i="7"/>
  <c r="AD16" i="7"/>
  <c r="AB16" i="7"/>
  <c r="Z16" i="7"/>
  <c r="AD15" i="7"/>
  <c r="AB15" i="7"/>
  <c r="Z15" i="7"/>
  <c r="AD14" i="7"/>
  <c r="AB14" i="7"/>
  <c r="Z14" i="7"/>
  <c r="AD13" i="7"/>
  <c r="AB13" i="7"/>
  <c r="Z13" i="7"/>
  <c r="AD12" i="7"/>
  <c r="AB12" i="7"/>
  <c r="Z12" i="7"/>
  <c r="X10" i="7"/>
  <c r="AE7" i="7"/>
  <c r="AD6" i="7"/>
  <c r="AB6" i="7"/>
  <c r="Z6" i="7"/>
  <c r="AF1" i="7"/>
  <c r="AD1" i="7"/>
  <c r="AB1" i="7"/>
  <c r="Z1" i="7"/>
  <c r="AJ1" i="7"/>
  <c r="AF1" i="12"/>
  <c r="AD1" i="12"/>
  <c r="AB1" i="12"/>
  <c r="Z1" i="12"/>
  <c r="X10" i="12"/>
  <c r="AD21" i="12"/>
  <c r="AD20" i="12"/>
  <c r="AD19" i="12"/>
  <c r="AD18" i="12"/>
  <c r="AD17" i="12"/>
  <c r="AD16" i="12"/>
  <c r="AD15" i="12"/>
  <c r="AD14" i="12"/>
  <c r="AD13" i="12"/>
  <c r="AD12" i="12"/>
  <c r="AB21" i="12"/>
  <c r="AB20" i="12"/>
  <c r="AB19" i="12"/>
  <c r="AB18" i="12"/>
  <c r="AB17" i="12"/>
  <c r="AB16" i="12"/>
  <c r="AB15" i="12"/>
  <c r="AB14" i="12"/>
  <c r="AB13" i="12"/>
  <c r="AB12" i="12"/>
  <c r="Z13" i="12"/>
  <c r="Z14" i="12"/>
  <c r="Z15" i="12"/>
  <c r="Z16" i="12"/>
  <c r="Z17" i="12"/>
  <c r="Z18" i="12"/>
  <c r="Z19" i="12"/>
  <c r="Z20" i="12"/>
  <c r="Z21" i="12"/>
  <c r="Z12" i="12"/>
  <c r="AD6" i="12"/>
  <c r="AB6" i="12"/>
  <c r="Z6" i="12"/>
  <c r="AF6" i="12"/>
  <c r="AH6" i="12"/>
  <c r="AD51" i="12"/>
  <c r="AD50" i="12"/>
  <c r="AD49" i="12"/>
  <c r="AD48" i="12"/>
  <c r="AD47" i="12"/>
  <c r="AD46" i="12"/>
  <c r="AD45" i="12"/>
  <c r="AD44" i="12"/>
  <c r="AD43" i="12"/>
  <c r="AD42" i="12"/>
  <c r="AD41" i="12"/>
  <c r="AD40" i="12"/>
  <c r="AD39" i="12"/>
  <c r="AD38" i="12"/>
  <c r="AD37" i="12"/>
  <c r="AD36" i="12"/>
  <c r="AD35" i="12"/>
  <c r="AD34" i="12"/>
  <c r="AB51" i="12"/>
  <c r="AB50" i="12"/>
  <c r="Z50" i="12"/>
  <c r="AF50" i="12"/>
  <c r="AB49" i="12"/>
  <c r="AB48" i="12"/>
  <c r="Z48" i="12"/>
  <c r="AF48" i="12"/>
  <c r="AB47" i="12"/>
  <c r="AB46" i="12"/>
  <c r="Z46" i="12"/>
  <c r="AF46" i="12"/>
  <c r="AB45" i="12"/>
  <c r="AB44" i="12"/>
  <c r="Z44" i="12"/>
  <c r="AF44" i="12"/>
  <c r="AB43" i="12"/>
  <c r="AB42" i="12"/>
  <c r="Z42" i="12"/>
  <c r="AF42" i="12"/>
  <c r="AB41" i="12"/>
  <c r="AB40" i="12"/>
  <c r="Z40" i="12"/>
  <c r="AF40" i="12"/>
  <c r="AB39" i="12"/>
  <c r="AB38" i="12"/>
  <c r="Z38" i="12"/>
  <c r="AF38" i="12"/>
  <c r="AB37" i="12"/>
  <c r="AB36" i="12"/>
  <c r="Z36" i="12"/>
  <c r="AF36" i="12"/>
  <c r="AB35" i="12"/>
  <c r="AB34" i="12"/>
  <c r="Z34" i="12"/>
  <c r="AF34" i="12"/>
  <c r="Z35" i="12"/>
  <c r="Z37" i="12"/>
  <c r="Z39" i="12"/>
  <c r="Z41" i="12"/>
  <c r="Z43" i="12"/>
  <c r="Z45" i="12"/>
  <c r="Z47" i="12"/>
  <c r="Z49" i="12"/>
  <c r="Z51" i="12"/>
  <c r="AF57" i="12"/>
  <c r="AD58" i="12"/>
  <c r="AD57" i="12"/>
  <c r="AB58" i="12"/>
  <c r="AB57" i="12"/>
  <c r="Z57" i="12"/>
  <c r="Z58" i="12"/>
  <c r="AG69" i="12"/>
  <c r="AE69" i="12"/>
  <c r="AC69" i="12"/>
  <c r="AA69" i="12"/>
  <c r="AH69" i="12"/>
  <c r="AH57" i="12"/>
  <c r="AF51" i="12"/>
  <c r="AH51" i="12"/>
  <c r="AF49" i="12"/>
  <c r="AH49" i="12"/>
  <c r="AF47" i="12"/>
  <c r="AH47" i="12"/>
  <c r="AF45" i="12"/>
  <c r="AH45" i="12"/>
  <c r="AF43" i="12"/>
  <c r="AH43" i="12"/>
  <c r="AF41" i="12"/>
  <c r="AH41" i="12"/>
  <c r="AF39" i="12"/>
  <c r="AH39" i="12"/>
  <c r="AF37" i="12"/>
  <c r="AH37" i="12"/>
  <c r="AF35" i="12"/>
  <c r="AH35" i="12"/>
  <c r="AF21" i="12"/>
  <c r="AH21" i="12"/>
  <c r="AF20" i="12"/>
  <c r="AH20" i="12"/>
  <c r="AF19" i="12"/>
  <c r="AH19" i="12"/>
  <c r="AF18" i="12"/>
  <c r="AH18" i="12"/>
  <c r="AF16" i="12"/>
  <c r="AF15" i="12"/>
  <c r="AF14" i="12"/>
  <c r="AF13" i="12"/>
  <c r="AF12" i="12"/>
  <c r="AE7" i="12"/>
  <c r="AA7" i="12"/>
  <c r="AJ7" i="12"/>
  <c r="AK1" i="12"/>
  <c r="AJ1" i="12"/>
  <c r="AE7" i="1"/>
  <c r="AA7" i="1"/>
  <c r="AJ7" i="1"/>
  <c r="AF58" i="1"/>
  <c r="AF58" i="8"/>
  <c r="AH57" i="1"/>
  <c r="A88" i="9"/>
  <c r="A72" i="13"/>
  <c r="A74" i="13"/>
  <c r="A73" i="13"/>
  <c r="A87" i="9"/>
  <c r="A86" i="9"/>
  <c r="A71" i="13"/>
  <c r="A15" i="13"/>
  <c r="A85" i="9"/>
  <c r="A70" i="13"/>
  <c r="A84" i="9"/>
  <c r="A83" i="9"/>
  <c r="A69" i="13"/>
  <c r="A82" i="9"/>
  <c r="A51" i="13"/>
  <c r="A117" i="13"/>
  <c r="A81" i="9"/>
  <c r="A67" i="13"/>
  <c r="A80" i="9"/>
  <c r="A79" i="9"/>
  <c r="A49" i="13"/>
  <c r="A115" i="13"/>
  <c r="A78" i="9"/>
  <c r="A65" i="13"/>
  <c r="A77" i="9"/>
  <c r="A47" i="13"/>
  <c r="A113" i="13"/>
  <c r="A76" i="9"/>
  <c r="A63" i="13"/>
  <c r="A75" i="9"/>
  <c r="A45" i="13"/>
  <c r="A111" i="13"/>
  <c r="A74" i="9"/>
  <c r="A5" i="13"/>
  <c r="A73" i="9"/>
  <c r="A60" i="13"/>
  <c r="A72" i="9"/>
  <c r="A59" i="13"/>
  <c r="AF13" i="1"/>
  <c r="AF12" i="1"/>
  <c r="AF51" i="1"/>
  <c r="AH51" i="1"/>
  <c r="AF50" i="1"/>
  <c r="AH50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41" i="1"/>
  <c r="AH41" i="1"/>
  <c r="AF40" i="1"/>
  <c r="AH40" i="1"/>
  <c r="AF39" i="1"/>
  <c r="AH39" i="1"/>
  <c r="AF38" i="1"/>
  <c r="AH38" i="1"/>
  <c r="AF37" i="1"/>
  <c r="AH37" i="1"/>
  <c r="AF36" i="1"/>
  <c r="AH36" i="1"/>
  <c r="AF35" i="1"/>
  <c r="AH35" i="1"/>
  <c r="AF34" i="1"/>
  <c r="AH34" i="1"/>
  <c r="AF21" i="1"/>
  <c r="AH21" i="1"/>
  <c r="AF20" i="1"/>
  <c r="AH20" i="1"/>
  <c r="AF19" i="1"/>
  <c r="AH19" i="1"/>
  <c r="AF18" i="1"/>
  <c r="AH18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H22" i="7"/>
  <c r="K23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A75" i="7"/>
  <c r="M76" i="7"/>
  <c r="M77" i="7"/>
  <c r="A103" i="7"/>
  <c r="M104" i="7"/>
  <c r="M105" i="7"/>
  <c r="M4" i="1"/>
  <c r="M5" i="1"/>
  <c r="H22" i="1"/>
  <c r="K23" i="1"/>
  <c r="H30" i="1"/>
  <c r="H33" i="1"/>
  <c r="H34" i="1"/>
  <c r="H35" i="1"/>
  <c r="H40" i="1"/>
  <c r="H42" i="1"/>
  <c r="H43" i="1"/>
  <c r="H44" i="1"/>
  <c r="H45" i="1"/>
  <c r="H46" i="1"/>
  <c r="H47" i="1"/>
  <c r="H48" i="1"/>
  <c r="H49" i="1"/>
  <c r="H51" i="1"/>
  <c r="A75" i="1"/>
  <c r="M76" i="1"/>
  <c r="M77" i="1"/>
  <c r="A103" i="1"/>
  <c r="M104" i="1"/>
  <c r="M105" i="1"/>
  <c r="M4" i="8"/>
  <c r="M5" i="8"/>
  <c r="H22" i="8"/>
  <c r="K23" i="8"/>
  <c r="H30" i="8"/>
  <c r="H31" i="8"/>
  <c r="H32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A75" i="8"/>
  <c r="M76" i="8"/>
  <c r="M77" i="8"/>
  <c r="A103" i="8"/>
  <c r="M104" i="8"/>
  <c r="M105" i="8"/>
  <c r="M4" i="12"/>
  <c r="M5" i="12"/>
  <c r="H22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A75" i="12"/>
  <c r="M76" i="12"/>
  <c r="M77" i="12"/>
  <c r="A103" i="12"/>
  <c r="M104" i="12"/>
  <c r="M105" i="12"/>
  <c r="H29" i="1"/>
  <c r="AH13" i="1"/>
  <c r="AH12" i="1"/>
  <c r="AF12" i="8"/>
  <c r="AH12" i="8"/>
  <c r="AA7" i="8"/>
  <c r="AJ7" i="8"/>
  <c r="AH57" i="8"/>
  <c r="AF13" i="8"/>
  <c r="AF14" i="8"/>
  <c r="AF15" i="8"/>
  <c r="AF16" i="8"/>
  <c r="AF17" i="8"/>
  <c r="AF18" i="8"/>
  <c r="AF19" i="8"/>
  <c r="AF20" i="8"/>
  <c r="AF21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6" i="7"/>
  <c r="AA7" i="7"/>
  <c r="AJ7" i="7"/>
  <c r="AH57" i="7"/>
  <c r="AF12" i="7"/>
  <c r="AF13" i="7"/>
  <c r="AF14" i="7"/>
  <c r="AF15" i="7"/>
  <c r="AF16" i="7"/>
  <c r="AF17" i="7"/>
  <c r="AF18" i="7"/>
  <c r="AF19" i="7"/>
  <c r="AF20" i="7"/>
  <c r="AF21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69" i="12"/>
  <c r="Z69" i="12"/>
  <c r="AD69" i="12"/>
  <c r="A3" i="13"/>
  <c r="A40" i="13"/>
  <c r="A38" i="13"/>
  <c r="A27" i="13"/>
  <c r="A57" i="13"/>
  <c r="A55" i="13"/>
  <c r="A54" i="13"/>
  <c r="A120" i="13"/>
  <c r="A44" i="13"/>
  <c r="A43" i="13"/>
  <c r="A109" i="13"/>
  <c r="A61" i="13"/>
  <c r="A4" i="13"/>
  <c r="A25" i="13"/>
  <c r="A39" i="13"/>
  <c r="A37" i="13"/>
  <c r="A26" i="13"/>
  <c r="A56" i="13"/>
  <c r="AH12" i="12"/>
  <c r="AH13" i="12"/>
  <c r="AH14" i="12"/>
  <c r="AH15" i="12"/>
  <c r="AH16" i="12"/>
  <c r="AH34" i="12"/>
  <c r="AH36" i="12"/>
  <c r="AH38" i="12"/>
  <c r="AH40" i="12"/>
  <c r="AH42" i="12"/>
  <c r="AH44" i="12"/>
  <c r="AH46" i="12"/>
  <c r="AH48" i="12"/>
  <c r="AH50" i="12"/>
  <c r="AF17" i="12"/>
  <c r="AB69" i="12"/>
  <c r="AF69" i="1"/>
  <c r="AD69" i="1"/>
  <c r="AB69" i="1"/>
  <c r="Z69" i="1"/>
  <c r="AH50" i="8"/>
  <c r="AH48" i="8"/>
  <c r="AH46" i="8"/>
  <c r="AH44" i="8"/>
  <c r="AH42" i="8"/>
  <c r="AH40" i="8"/>
  <c r="AH38" i="8"/>
  <c r="AH36" i="8"/>
  <c r="AH34" i="8"/>
  <c r="AH21" i="8"/>
  <c r="AH19" i="8"/>
  <c r="AH17" i="8"/>
  <c r="AH15" i="8"/>
  <c r="AH13" i="8"/>
  <c r="AH51" i="8"/>
  <c r="AH49" i="8"/>
  <c r="AH47" i="8"/>
  <c r="AH45" i="8"/>
  <c r="AH43" i="8"/>
  <c r="AH41" i="8"/>
  <c r="AH39" i="8"/>
  <c r="AH37" i="8"/>
  <c r="AH35" i="8"/>
  <c r="AH20" i="8"/>
  <c r="AH18" i="8"/>
  <c r="AH16" i="8"/>
  <c r="AH14" i="8"/>
  <c r="AH50" i="7"/>
  <c r="AH48" i="7"/>
  <c r="AH46" i="7"/>
  <c r="AH44" i="7"/>
  <c r="AH42" i="7"/>
  <c r="AH40" i="7"/>
  <c r="AH38" i="7"/>
  <c r="AH36" i="7"/>
  <c r="AH34" i="7"/>
  <c r="AH20" i="7"/>
  <c r="AH18" i="7"/>
  <c r="AH16" i="7"/>
  <c r="AH14" i="7"/>
  <c r="AH12" i="7"/>
  <c r="AH21" i="7"/>
  <c r="AH19" i="7"/>
  <c r="AH17" i="7"/>
  <c r="AH15" i="7"/>
  <c r="AH13" i="7"/>
  <c r="AH51" i="7"/>
  <c r="AH49" i="7"/>
  <c r="AH47" i="7"/>
  <c r="AH45" i="7"/>
  <c r="AH43" i="7"/>
  <c r="AH41" i="7"/>
  <c r="AH39" i="7"/>
  <c r="AH37" i="7"/>
  <c r="AH35" i="7"/>
  <c r="AH17" i="12"/>
  <c r="AK1" i="7"/>
  <c r="AF69" i="7"/>
  <c r="AB69" i="7"/>
  <c r="AD69" i="7"/>
  <c r="Z69" i="7"/>
  <c r="H29" i="7"/>
  <c r="H29" i="8"/>
  <c r="AH58" i="8"/>
  <c r="AF58" i="7"/>
  <c r="AH58" i="1"/>
  <c r="AF58" i="12"/>
  <c r="AH6" i="7"/>
  <c r="AF6" i="8"/>
  <c r="AH6" i="8"/>
  <c r="AH58" i="12"/>
  <c r="AH58" i="7"/>
  <c r="A21" i="8"/>
  <c r="A21" i="7"/>
  <c r="K2" i="9"/>
  <c r="A1" i="7"/>
  <c r="K2" i="11"/>
  <c r="AH69" i="8"/>
  <c r="AD69" i="8"/>
  <c r="H33" i="8"/>
  <c r="A1" i="12"/>
  <c r="A1" i="8"/>
  <c r="K2" i="10"/>
  <c r="A110" i="13"/>
  <c r="AB69" i="8"/>
  <c r="Z69" i="8"/>
  <c r="AF69" i="8"/>
  <c r="A20" i="7"/>
  <c r="A36" i="13"/>
  <c r="A53" i="13"/>
  <c r="A119" i="13"/>
  <c r="A6" i="13"/>
  <c r="A8" i="13"/>
  <c r="A10" i="13"/>
  <c r="A12" i="13"/>
  <c r="A28" i="13"/>
  <c r="A30" i="13"/>
  <c r="A32" i="13"/>
  <c r="A34" i="13"/>
  <c r="A62" i="13"/>
  <c r="A64" i="13"/>
  <c r="A66" i="13"/>
  <c r="A68" i="13"/>
  <c r="A42" i="13"/>
  <c r="A108" i="13"/>
  <c r="A46" i="13"/>
  <c r="A112" i="13"/>
  <c r="A48" i="13"/>
  <c r="A114" i="13"/>
  <c r="A50" i="13"/>
  <c r="A116" i="13"/>
  <c r="A52" i="13"/>
  <c r="A118" i="13"/>
  <c r="A14" i="13"/>
  <c r="A7" i="13"/>
  <c r="A9" i="13"/>
  <c r="A11" i="13"/>
  <c r="A13" i="13"/>
  <c r="A29" i="13"/>
  <c r="A31" i="13"/>
  <c r="A33" i="13"/>
  <c r="A35" i="13"/>
  <c r="A20" i="8"/>
  <c r="C107" i="13"/>
  <c r="A6" i="7"/>
  <c r="A7" i="12"/>
  <c r="A6" i="12"/>
  <c r="A8" i="7"/>
  <c r="A8" i="8"/>
  <c r="A8" i="12"/>
  <c r="A9" i="8"/>
  <c r="A10" i="12"/>
  <c r="A10" i="7"/>
  <c r="A11" i="8"/>
  <c r="A11" i="12"/>
  <c r="A12" i="8"/>
  <c r="A12" i="7"/>
  <c r="A12" i="12"/>
  <c r="A14" i="8"/>
  <c r="A13" i="12"/>
  <c r="A13" i="7"/>
  <c r="A14" i="12"/>
  <c r="A14" i="7"/>
  <c r="A15" i="8"/>
  <c r="A15" i="12"/>
  <c r="A16" i="7"/>
  <c r="A16" i="12"/>
  <c r="A16" i="8"/>
  <c r="A17" i="12"/>
  <c r="A17" i="7"/>
  <c r="A18" i="7"/>
  <c r="A18" i="8"/>
  <c r="A18" i="12"/>
  <c r="A19" i="7"/>
  <c r="C24" i="8"/>
  <c r="C24" i="1"/>
  <c r="A19" i="8"/>
  <c r="D29" i="12"/>
  <c r="I29" i="12"/>
  <c r="D29" i="7"/>
  <c r="I29" i="7"/>
  <c r="D29" i="1"/>
  <c r="I29" i="1"/>
  <c r="D29" i="8"/>
  <c r="I29" i="8"/>
  <c r="AA58" i="8"/>
  <c r="AA58" i="1"/>
  <c r="AC58" i="1"/>
  <c r="AE58" i="1"/>
  <c r="AG58" i="1"/>
  <c r="AK58" i="1"/>
  <c r="AG58" i="7"/>
  <c r="AC58" i="12"/>
  <c r="AI58" i="1"/>
  <c r="AG58" i="8"/>
  <c r="AC58" i="8"/>
  <c r="AA58" i="12"/>
  <c r="AG58" i="12"/>
  <c r="AE58" i="7"/>
  <c r="AK58" i="7"/>
  <c r="AC58" i="7"/>
  <c r="AA58" i="7"/>
  <c r="AJ58" i="7"/>
  <c r="O106" i="12"/>
  <c r="A30" i="12"/>
  <c r="A79" i="12"/>
  <c r="A30" i="8"/>
  <c r="A79" i="8"/>
  <c r="A29" i="12"/>
  <c r="A78" i="12"/>
  <c r="A29" i="8"/>
  <c r="A78" i="8"/>
  <c r="A29" i="7"/>
  <c r="A78" i="7"/>
  <c r="A78" i="1"/>
  <c r="A31" i="8"/>
  <c r="A80" i="8"/>
  <c r="D30" i="7"/>
  <c r="A31" i="12"/>
  <c r="A80" i="12"/>
  <c r="D30" i="8"/>
  <c r="I30" i="8"/>
  <c r="D30" i="12"/>
  <c r="I30" i="12"/>
  <c r="D31" i="8"/>
  <c r="I31" i="8"/>
  <c r="D32" i="7"/>
  <c r="I32" i="7"/>
  <c r="D32" i="8"/>
  <c r="I32" i="8"/>
  <c r="A32" i="12"/>
  <c r="A81" i="12"/>
  <c r="A32" i="8"/>
  <c r="A81" i="8"/>
  <c r="A32" i="7"/>
  <c r="A81" i="7"/>
  <c r="A81" i="1"/>
  <c r="D32" i="12"/>
  <c r="I32" i="12"/>
  <c r="A33" i="7"/>
  <c r="A82" i="7"/>
  <c r="A33" i="8"/>
  <c r="A82" i="8"/>
  <c r="A82" i="1"/>
  <c r="A33" i="12"/>
  <c r="A82" i="12"/>
  <c r="D31" i="12"/>
  <c r="I31" i="12"/>
  <c r="I30" i="7"/>
  <c r="A34" i="12"/>
  <c r="A83" i="12"/>
  <c r="D33" i="8"/>
  <c r="I33" i="8"/>
  <c r="D33" i="12"/>
  <c r="I33" i="12"/>
  <c r="D33" i="7"/>
  <c r="A34" i="8"/>
  <c r="A83" i="8"/>
  <c r="A34" i="7"/>
  <c r="A83" i="7"/>
  <c r="A83" i="1"/>
  <c r="D33" i="1"/>
  <c r="I33" i="1"/>
  <c r="D34" i="7"/>
  <c r="I34" i="7"/>
  <c r="I33" i="7"/>
  <c r="A35" i="8"/>
  <c r="A84" i="8"/>
  <c r="A35" i="12"/>
  <c r="A84" i="12"/>
  <c r="A35" i="7"/>
  <c r="A84" i="7"/>
  <c r="A84" i="1"/>
  <c r="D34" i="12"/>
  <c r="I34" i="12"/>
  <c r="D34" i="1"/>
  <c r="I34" i="1"/>
  <c r="D35" i="1"/>
  <c r="I35" i="1"/>
  <c r="A36" i="7"/>
  <c r="A85" i="7"/>
  <c r="A36" i="12"/>
  <c r="A85" i="12"/>
  <c r="A36" i="8"/>
  <c r="A85" i="8"/>
  <c r="A85" i="1"/>
  <c r="D35" i="7"/>
  <c r="I35" i="7"/>
  <c r="A86" i="1"/>
  <c r="A37" i="7"/>
  <c r="A86" i="7"/>
  <c r="A37" i="8"/>
  <c r="A86" i="8"/>
  <c r="A37" i="12"/>
  <c r="A86" i="12"/>
  <c r="D36" i="8"/>
  <c r="I36" i="8"/>
  <c r="A38" i="12"/>
  <c r="A87" i="12"/>
  <c r="D37" i="8"/>
  <c r="I37" i="8"/>
  <c r="D37" i="7"/>
  <c r="I37" i="7"/>
  <c r="D37" i="12"/>
  <c r="I37" i="12"/>
  <c r="A38" i="8"/>
  <c r="A87" i="8"/>
  <c r="A87" i="1"/>
  <c r="A39" i="8"/>
  <c r="A88" i="8"/>
  <c r="D38" i="12"/>
  <c r="I38" i="12"/>
  <c r="D38" i="8"/>
  <c r="I38" i="8"/>
  <c r="A40" i="7"/>
  <c r="A89" i="7"/>
  <c r="D39" i="7"/>
  <c r="I39" i="7"/>
  <c r="D39" i="12"/>
  <c r="I39" i="12"/>
  <c r="D40" i="12"/>
  <c r="I40" i="12"/>
  <c r="D40" i="7"/>
  <c r="I40" i="7"/>
  <c r="D40" i="8"/>
  <c r="I40" i="8"/>
  <c r="A41" i="7"/>
  <c r="A90" i="7"/>
  <c r="A41" i="8"/>
  <c r="A90" i="8"/>
  <c r="A41" i="12"/>
  <c r="A90" i="12"/>
  <c r="A90" i="1"/>
  <c r="D40" i="1"/>
  <c r="I40" i="1"/>
  <c r="D41" i="8"/>
  <c r="I41" i="8"/>
  <c r="A42" i="12"/>
  <c r="A91" i="12"/>
  <c r="A42" i="8"/>
  <c r="A91" i="8"/>
  <c r="A42" i="7"/>
  <c r="A91" i="7"/>
  <c r="A91" i="1"/>
  <c r="D41" i="12"/>
  <c r="I41" i="12"/>
  <c r="D42" i="8"/>
  <c r="I42" i="8"/>
  <c r="D42" i="12"/>
  <c r="I42" i="12"/>
  <c r="D42" i="7"/>
  <c r="I42" i="7"/>
  <c r="D42" i="1"/>
  <c r="I42" i="1"/>
  <c r="A43" i="8"/>
  <c r="A92" i="8"/>
  <c r="A43" i="12"/>
  <c r="A92" i="12"/>
  <c r="A43" i="7"/>
  <c r="A92" i="7"/>
  <c r="A92" i="1"/>
  <c r="A44" i="7"/>
  <c r="A93" i="7"/>
  <c r="A44" i="12"/>
  <c r="A93" i="12"/>
  <c r="A44" i="8"/>
  <c r="A93" i="8"/>
  <c r="A93" i="1"/>
  <c r="D43" i="12"/>
  <c r="I43" i="12"/>
  <c r="D43" i="1"/>
  <c r="I43" i="1"/>
  <c r="D43" i="7"/>
  <c r="I43" i="7"/>
  <c r="D43" i="8"/>
  <c r="I43" i="8"/>
  <c r="D44" i="12"/>
  <c r="I44" i="12"/>
  <c r="A45" i="8"/>
  <c r="A94" i="8"/>
  <c r="A45" i="12"/>
  <c r="A94" i="12"/>
  <c r="A94" i="1"/>
  <c r="A45" i="7"/>
  <c r="A94" i="7"/>
  <c r="D44" i="7"/>
  <c r="I44" i="7"/>
  <c r="D45" i="8"/>
  <c r="I45" i="8"/>
  <c r="D45" i="1"/>
  <c r="I45" i="1"/>
  <c r="D45" i="7"/>
  <c r="I45" i="7"/>
  <c r="D46" i="8"/>
  <c r="I46" i="8"/>
  <c r="D46" i="7"/>
  <c r="I46" i="7"/>
  <c r="D46" i="12"/>
  <c r="I46" i="12"/>
  <c r="D46" i="1"/>
  <c r="I46" i="1"/>
  <c r="A48" i="7"/>
  <c r="A97" i="7"/>
  <c r="D47" i="12"/>
  <c r="I47" i="12"/>
  <c r="D47" i="8"/>
  <c r="I47" i="8"/>
  <c r="D47" i="1"/>
  <c r="I47" i="1"/>
  <c r="D47" i="7"/>
  <c r="I47" i="7"/>
  <c r="D48" i="8"/>
  <c r="I48" i="8"/>
  <c r="D48" i="12"/>
  <c r="I48" i="12"/>
  <c r="D48" i="7"/>
  <c r="I48" i="7"/>
  <c r="A49" i="12"/>
  <c r="A98" i="12"/>
  <c r="A49" i="8"/>
  <c r="A98" i="8"/>
  <c r="A98" i="1"/>
  <c r="A49" i="7"/>
  <c r="A98" i="7"/>
  <c r="D49" i="8"/>
  <c r="I49" i="8"/>
  <c r="D49" i="12"/>
  <c r="I49" i="12"/>
  <c r="A50" i="7"/>
  <c r="A99" i="7"/>
  <c r="A50" i="12"/>
  <c r="A99" i="12"/>
  <c r="A50" i="8"/>
  <c r="A99" i="8"/>
  <c r="A99" i="1"/>
  <c r="D49" i="7"/>
  <c r="I49" i="7"/>
  <c r="A51" i="8"/>
  <c r="A100" i="8"/>
  <c r="A51" i="12"/>
  <c r="A100" i="12"/>
  <c r="A100" i="1"/>
  <c r="A51" i="7"/>
  <c r="A100" i="7"/>
  <c r="D50" i="12"/>
  <c r="I50" i="12"/>
  <c r="D50" i="7"/>
  <c r="I50" i="7"/>
  <c r="D50" i="8"/>
  <c r="I50" i="8"/>
  <c r="D51" i="8"/>
  <c r="I51" i="8"/>
  <c r="D51" i="7"/>
  <c r="I51" i="7"/>
  <c r="C52" i="1"/>
  <c r="D51" i="12"/>
  <c r="K51" i="12"/>
  <c r="L51" i="12"/>
  <c r="K29" i="12"/>
  <c r="L29" i="12"/>
  <c r="K30" i="12"/>
  <c r="L30" i="12"/>
  <c r="K31" i="12"/>
  <c r="L31" i="12"/>
  <c r="K32" i="12"/>
  <c r="L32" i="12"/>
  <c r="K33" i="12"/>
  <c r="L33" i="12"/>
  <c r="K34" i="12"/>
  <c r="L34" i="12"/>
  <c r="K35" i="12"/>
  <c r="L35" i="12"/>
  <c r="K36" i="12"/>
  <c r="L36" i="12"/>
  <c r="K37" i="12"/>
  <c r="L37" i="12"/>
  <c r="K38" i="12"/>
  <c r="L38" i="12"/>
  <c r="K39" i="12"/>
  <c r="L39" i="12"/>
  <c r="K40" i="12"/>
  <c r="L40" i="12"/>
  <c r="K41" i="12"/>
  <c r="L41" i="12"/>
  <c r="K42" i="12"/>
  <c r="L42" i="12"/>
  <c r="K43" i="12"/>
  <c r="L43" i="12"/>
  <c r="K44" i="12"/>
  <c r="L44" i="12"/>
  <c r="K45" i="12"/>
  <c r="L45" i="12"/>
  <c r="K46" i="12"/>
  <c r="L46" i="12"/>
  <c r="K47" i="12"/>
  <c r="L47" i="12"/>
  <c r="K48" i="12"/>
  <c r="L48" i="12"/>
  <c r="K49" i="12"/>
  <c r="L49" i="12"/>
  <c r="K50" i="12"/>
  <c r="L50" i="12"/>
  <c r="L52" i="12"/>
  <c r="C52" i="7"/>
  <c r="D51" i="1"/>
  <c r="C52" i="12"/>
  <c r="C52" i="8"/>
  <c r="K29" i="8"/>
  <c r="K33" i="8"/>
  <c r="L33" i="8"/>
  <c r="K37" i="8"/>
  <c r="L37" i="8"/>
  <c r="K40" i="8"/>
  <c r="L40" i="8"/>
  <c r="K42" i="8"/>
  <c r="L42" i="8"/>
  <c r="K44" i="8"/>
  <c r="L44" i="8"/>
  <c r="K46" i="8"/>
  <c r="L46" i="8"/>
  <c r="K48" i="8"/>
  <c r="L48" i="8"/>
  <c r="K50" i="8"/>
  <c r="L50" i="8"/>
  <c r="K29" i="7"/>
  <c r="K31" i="7"/>
  <c r="L31" i="7"/>
  <c r="K33" i="7"/>
  <c r="L33" i="7"/>
  <c r="K34" i="7"/>
  <c r="L34" i="7"/>
  <c r="K35" i="7"/>
  <c r="L35" i="7"/>
  <c r="K36" i="7"/>
  <c r="L36" i="7"/>
  <c r="K37" i="7"/>
  <c r="L37" i="7"/>
  <c r="K38" i="7"/>
  <c r="L38" i="7"/>
  <c r="K39" i="7"/>
  <c r="L39" i="7"/>
  <c r="K40" i="7"/>
  <c r="L40" i="7"/>
  <c r="K41" i="7"/>
  <c r="L41" i="7"/>
  <c r="K42" i="7"/>
  <c r="L42" i="7"/>
  <c r="K43" i="7"/>
  <c r="L43" i="7"/>
  <c r="K44" i="7"/>
  <c r="L44" i="7"/>
  <c r="K45" i="7"/>
  <c r="L45" i="7"/>
  <c r="K46" i="7"/>
  <c r="L46" i="7"/>
  <c r="K47" i="7"/>
  <c r="L47" i="7"/>
  <c r="K48" i="7"/>
  <c r="L48" i="7"/>
  <c r="K49" i="7"/>
  <c r="L49" i="7"/>
  <c r="K50" i="7"/>
  <c r="L50" i="7"/>
  <c r="I51" i="1"/>
  <c r="I51" i="12"/>
  <c r="K51" i="7"/>
  <c r="L51" i="7"/>
  <c r="L29" i="7"/>
  <c r="C101" i="1"/>
  <c r="D44" i="8"/>
  <c r="D36" i="12"/>
  <c r="A80" i="1"/>
  <c r="A31" i="7"/>
  <c r="A80" i="7"/>
  <c r="C24" i="12"/>
  <c r="AA70" i="7"/>
  <c r="AE70" i="7"/>
  <c r="AC70" i="7"/>
  <c r="AG70" i="7"/>
  <c r="AH70" i="7"/>
  <c r="I36" i="12"/>
  <c r="I44" i="8"/>
  <c r="K49" i="8"/>
  <c r="L49" i="8"/>
  <c r="K47" i="8"/>
  <c r="L47" i="8"/>
  <c r="K45" i="8"/>
  <c r="L45" i="8"/>
  <c r="K43" i="8"/>
  <c r="L43" i="8"/>
  <c r="K41" i="8"/>
  <c r="L41" i="8"/>
  <c r="K39" i="8"/>
  <c r="L39" i="8"/>
  <c r="K35" i="8"/>
  <c r="L35" i="8"/>
  <c r="K31" i="8"/>
  <c r="L31" i="8"/>
  <c r="K38" i="8"/>
  <c r="L38" i="8"/>
  <c r="K36" i="8"/>
  <c r="L36" i="8"/>
  <c r="K34" i="8"/>
  <c r="L34" i="8"/>
  <c r="K32" i="8"/>
  <c r="L32" i="8"/>
  <c r="K30" i="8"/>
  <c r="L30" i="8"/>
  <c r="L29" i="8"/>
  <c r="K51" i="8"/>
  <c r="L51" i="8"/>
  <c r="L52" i="8"/>
  <c r="K32" i="7"/>
  <c r="L32" i="7"/>
  <c r="K30" i="7"/>
  <c r="L30" i="7"/>
  <c r="AI58" i="7"/>
  <c r="O107" i="12"/>
  <c r="K23" i="12"/>
  <c r="E12" i="13"/>
  <c r="AJ58" i="1"/>
  <c r="D30" i="1"/>
  <c r="I30" i="1"/>
  <c r="K48" i="1"/>
  <c r="L48" i="1"/>
  <c r="K35" i="1"/>
  <c r="L35" i="1"/>
  <c r="K32" i="1"/>
  <c r="L32" i="1"/>
  <c r="A9" i="7"/>
  <c r="A46" i="12"/>
  <c r="A95" i="12"/>
  <c r="A46" i="8"/>
  <c r="A95" i="8"/>
  <c r="A46" i="7"/>
  <c r="A95" i="7"/>
  <c r="A95" i="1"/>
  <c r="D44" i="1"/>
  <c r="D49" i="1"/>
  <c r="I49" i="1"/>
  <c r="A47" i="7"/>
  <c r="A96" i="7"/>
  <c r="A47" i="12"/>
  <c r="A96" i="12"/>
  <c r="A47" i="8"/>
  <c r="A96" i="8"/>
  <c r="A96" i="1"/>
  <c r="D45" i="12"/>
  <c r="I45" i="12"/>
  <c r="K52" i="12"/>
  <c r="K52" i="7"/>
  <c r="D48" i="1"/>
  <c r="I48" i="1"/>
  <c r="A97" i="1"/>
  <c r="A48" i="8"/>
  <c r="A97" i="8"/>
  <c r="A48" i="12"/>
  <c r="A97" i="12"/>
  <c r="AJ58" i="12"/>
  <c r="C101" i="8"/>
  <c r="C101" i="12"/>
  <c r="D107" i="13"/>
  <c r="AJ58" i="8"/>
  <c r="AA70" i="1"/>
  <c r="AE70" i="1"/>
  <c r="AG70" i="1"/>
  <c r="AC70" i="1"/>
  <c r="I58" i="1"/>
  <c r="C101" i="7"/>
  <c r="D41" i="7"/>
  <c r="I41" i="7"/>
  <c r="A89" i="1"/>
  <c r="A40" i="12"/>
  <c r="A89" i="12"/>
  <c r="A40" i="8"/>
  <c r="A89" i="8"/>
  <c r="D39" i="8"/>
  <c r="I39" i="8"/>
  <c r="A88" i="1"/>
  <c r="A39" i="12"/>
  <c r="A88" i="12"/>
  <c r="A39" i="7"/>
  <c r="A88" i="7"/>
  <c r="D38" i="7"/>
  <c r="I38" i="7"/>
  <c r="A38" i="7"/>
  <c r="A87" i="7"/>
  <c r="D36" i="7"/>
  <c r="I36" i="7"/>
  <c r="D35" i="12"/>
  <c r="D35" i="8"/>
  <c r="I35" i="8"/>
  <c r="D34" i="8"/>
  <c r="D31" i="7"/>
  <c r="A79" i="1"/>
  <c r="A30" i="7"/>
  <c r="A79" i="7"/>
  <c r="AE58" i="12"/>
  <c r="AK58" i="12"/>
  <c r="AE58" i="8"/>
  <c r="AK58" i="8"/>
  <c r="A19" i="12"/>
  <c r="A10" i="8"/>
  <c r="A7" i="7"/>
  <c r="A6" i="8"/>
  <c r="K52" i="8"/>
  <c r="E84" i="9"/>
  <c r="AE70" i="8"/>
  <c r="AA70" i="8"/>
  <c r="AC70" i="8"/>
  <c r="AG70" i="8"/>
  <c r="E8" i="13"/>
  <c r="D39" i="13"/>
  <c r="D18" i="13"/>
  <c r="B39" i="13"/>
  <c r="AH70" i="1"/>
  <c r="CV12" i="13"/>
  <c r="CY12" i="13"/>
  <c r="D12" i="13"/>
  <c r="CS12" i="13"/>
  <c r="CX12" i="13"/>
  <c r="CU12" i="13"/>
  <c r="CT12" i="13"/>
  <c r="CR12" i="13"/>
  <c r="CQ12" i="13"/>
  <c r="DA12" i="13"/>
  <c r="CW12" i="13"/>
  <c r="CZ12" i="13"/>
  <c r="I64" i="1"/>
  <c r="K33" i="1"/>
  <c r="L33" i="1"/>
  <c r="K31" i="1"/>
  <c r="L31" i="1"/>
  <c r="K38" i="1"/>
  <c r="L38" i="1"/>
  <c r="K42" i="1"/>
  <c r="L42" i="1"/>
  <c r="K50" i="1"/>
  <c r="L50" i="1"/>
  <c r="K30" i="1"/>
  <c r="L30" i="1"/>
  <c r="K29" i="1"/>
  <c r="L29" i="1"/>
  <c r="K34" i="1"/>
  <c r="L34" i="1"/>
  <c r="K37" i="1"/>
  <c r="L37" i="1"/>
  <c r="K39" i="1"/>
  <c r="L39" i="1"/>
  <c r="K41" i="1"/>
  <c r="L41" i="1"/>
  <c r="K43" i="1"/>
  <c r="L43" i="1"/>
  <c r="K45" i="1"/>
  <c r="L45" i="1"/>
  <c r="K47" i="1"/>
  <c r="L47" i="1"/>
  <c r="K49" i="1"/>
  <c r="L49" i="1"/>
  <c r="K51" i="1"/>
  <c r="L51" i="1"/>
  <c r="K36" i="1"/>
  <c r="L36" i="1"/>
  <c r="K40" i="1"/>
  <c r="L40" i="1"/>
  <c r="K46" i="1"/>
  <c r="L46" i="1"/>
  <c r="K44" i="1"/>
  <c r="L44" i="1"/>
  <c r="K61" i="1"/>
  <c r="K58" i="1"/>
  <c r="K57" i="1"/>
  <c r="K62" i="1"/>
  <c r="I34" i="8"/>
  <c r="I52" i="8"/>
  <c r="D52" i="8"/>
  <c r="I35" i="12"/>
  <c r="I52" i="12"/>
  <c r="D52" i="12"/>
  <c r="F120" i="13"/>
  <c r="F118" i="13"/>
  <c r="F113" i="13"/>
  <c r="AE70" i="12"/>
  <c r="AA70" i="12"/>
  <c r="AC70" i="12"/>
  <c r="AG70" i="12"/>
  <c r="AH70" i="12"/>
  <c r="AI58" i="12"/>
  <c r="I31" i="7"/>
  <c r="I52" i="7"/>
  <c r="D52" i="7"/>
  <c r="E107" i="13"/>
  <c r="I44" i="1"/>
  <c r="D52" i="1"/>
  <c r="AI58" i="8"/>
  <c r="E5" i="13"/>
  <c r="I93" i="9"/>
  <c r="E17" i="13"/>
  <c r="E39" i="13"/>
  <c r="E80" i="9"/>
  <c r="AH70" i="8"/>
  <c r="E18" i="13"/>
  <c r="E40" i="13"/>
  <c r="E14" i="13"/>
  <c r="E10" i="13"/>
  <c r="E87" i="9"/>
  <c r="E4" i="13"/>
  <c r="D40" i="13"/>
  <c r="D17" i="13"/>
  <c r="B40" i="13"/>
  <c r="B18" i="13"/>
  <c r="B17" i="13"/>
  <c r="C18" i="13"/>
  <c r="C40" i="13"/>
  <c r="C17" i="13"/>
  <c r="C39" i="13"/>
  <c r="K63" i="1"/>
  <c r="K52" i="1"/>
  <c r="L52" i="1"/>
  <c r="CY44" i="13"/>
  <c r="DA42" i="13"/>
  <c r="CX19" i="13"/>
  <c r="H53" i="13"/>
  <c r="Q45" i="13"/>
  <c r="U47" i="13"/>
  <c r="G49" i="13"/>
  <c r="X42" i="13"/>
  <c r="Y42" i="13"/>
  <c r="O47" i="13"/>
  <c r="N53" i="13"/>
  <c r="L44" i="13"/>
  <c r="W48" i="13"/>
  <c r="J45" i="13"/>
  <c r="G43" i="13"/>
  <c r="S50" i="13"/>
  <c r="F50" i="13"/>
  <c r="U49" i="13"/>
  <c r="H45" i="13"/>
  <c r="L43" i="13"/>
  <c r="K42" i="13"/>
  <c r="CX44" i="13"/>
  <c r="DA46" i="13"/>
  <c r="DA52" i="13"/>
  <c r="S46" i="13"/>
  <c r="P19" i="13"/>
  <c r="S47" i="13"/>
  <c r="Y43" i="13"/>
  <c r="Y46" i="13"/>
  <c r="J43" i="13"/>
  <c r="U52" i="13"/>
  <c r="K48" i="13"/>
  <c r="X44" i="13"/>
  <c r="S54" i="13"/>
  <c r="F46" i="13"/>
  <c r="O19" i="13"/>
  <c r="V42" i="13"/>
  <c r="O49" i="13"/>
  <c r="J49" i="13"/>
  <c r="V53" i="13"/>
  <c r="CZ46" i="13"/>
  <c r="H43" i="13"/>
  <c r="Y44" i="13"/>
  <c r="H52" i="13"/>
  <c r="R46" i="13"/>
  <c r="H48" i="13"/>
  <c r="W45" i="13"/>
  <c r="N52" i="13"/>
  <c r="I52" i="13"/>
  <c r="O48" i="13"/>
  <c r="CZ52" i="13"/>
  <c r="G42" i="13"/>
  <c r="U43" i="13"/>
  <c r="M48" i="13"/>
  <c r="M47" i="13"/>
  <c r="K43" i="13"/>
  <c r="K44" i="13"/>
  <c r="Y51" i="13"/>
  <c r="H19" i="13"/>
  <c r="T52" i="13"/>
  <c r="CW54" i="13"/>
  <c r="CZ54" i="13"/>
  <c r="CW47" i="13"/>
  <c r="DA49" i="13"/>
  <c r="CY42" i="13"/>
  <c r="F49" i="13"/>
  <c r="X50" i="13"/>
  <c r="K49" i="13"/>
  <c r="I54" i="13"/>
  <c r="J42" i="13"/>
  <c r="P49" i="13"/>
  <c r="W47" i="13"/>
  <c r="I47" i="13"/>
  <c r="CX51" i="13"/>
  <c r="CZ48" i="13"/>
  <c r="T43" i="13"/>
  <c r="X49" i="13"/>
  <c r="I46" i="13"/>
  <c r="R53" i="13"/>
  <c r="O52" i="13"/>
  <c r="K51" i="13"/>
  <c r="P51" i="13"/>
  <c r="Q52" i="13"/>
  <c r="L50" i="13"/>
  <c r="CW44" i="13"/>
  <c r="CZ19" i="13"/>
  <c r="CZ50" i="13"/>
  <c r="CX50" i="13"/>
  <c r="S43" i="13"/>
  <c r="J48" i="13"/>
  <c r="X54" i="13"/>
  <c r="I50" i="13"/>
  <c r="G45" i="13"/>
  <c r="O50" i="13"/>
  <c r="R47" i="13"/>
  <c r="G48" i="13"/>
  <c r="F44" i="13"/>
  <c r="N43" i="13"/>
  <c r="P52" i="13"/>
  <c r="O46" i="13"/>
  <c r="F47" i="13"/>
  <c r="H44" i="13"/>
  <c r="P42" i="13"/>
  <c r="R54" i="13"/>
  <c r="Q44" i="13"/>
  <c r="Y19" i="13"/>
  <c r="CX48" i="13"/>
  <c r="DA44" i="13"/>
  <c r="DA47" i="13"/>
  <c r="V48" i="13"/>
  <c r="J53" i="13"/>
  <c r="U19" i="13"/>
  <c r="T46" i="13"/>
  <c r="K19" i="13"/>
  <c r="O45" i="13"/>
  <c r="V52" i="13"/>
  <c r="V49" i="13"/>
  <c r="F19" i="13"/>
  <c r="X43" i="13"/>
  <c r="S48" i="13"/>
  <c r="I49" i="13"/>
  <c r="T54" i="13"/>
  <c r="P48" i="13"/>
  <c r="X46" i="13"/>
  <c r="H51" i="13"/>
  <c r="W53" i="13"/>
  <c r="CY52" i="13"/>
  <c r="L19" i="13"/>
  <c r="Q54" i="13"/>
  <c r="S44" i="13"/>
  <c r="O54" i="13"/>
  <c r="M42" i="13"/>
  <c r="R44" i="13"/>
  <c r="N51" i="13"/>
  <c r="G52" i="13"/>
  <c r="F54" i="13"/>
  <c r="CX42" i="13"/>
  <c r="DA48" i="13"/>
  <c r="Y53" i="13"/>
  <c r="F53" i="13"/>
  <c r="Y54" i="13"/>
  <c r="V50" i="13"/>
  <c r="W54" i="13"/>
  <c r="O43" i="13"/>
  <c r="J47" i="13"/>
  <c r="V43" i="13"/>
  <c r="L42" i="13"/>
  <c r="CY54" i="13"/>
  <c r="CW46" i="13"/>
  <c r="CY46" i="13"/>
  <c r="CZ45" i="13"/>
  <c r="T48" i="13"/>
  <c r="F42" i="13"/>
  <c r="V47" i="13"/>
  <c r="I48" i="13"/>
  <c r="L48" i="13"/>
  <c r="M51" i="13"/>
  <c r="L54" i="13"/>
  <c r="W44" i="13"/>
  <c r="J51" i="13"/>
  <c r="CX43" i="13"/>
  <c r="Q50" i="13"/>
  <c r="U45" i="13"/>
  <c r="M43" i="13"/>
  <c r="N42" i="13"/>
  <c r="Y50" i="13"/>
  <c r="V44" i="13"/>
  <c r="T49" i="13"/>
  <c r="Y45" i="13"/>
  <c r="T47" i="13"/>
  <c r="CW42" i="13"/>
  <c r="DA53" i="13"/>
  <c r="CW50" i="13"/>
  <c r="CY61" i="13"/>
  <c r="CY49" i="13"/>
  <c r="CY47" i="13"/>
  <c r="CZ53" i="13"/>
  <c r="CY50" i="13"/>
  <c r="W52" i="13"/>
  <c r="X48" i="13"/>
  <c r="M49" i="13"/>
  <c r="T53" i="13"/>
  <c r="P43" i="13"/>
  <c r="S49" i="13"/>
  <c r="P50" i="13"/>
  <c r="T42" i="13"/>
  <c r="V51" i="13"/>
  <c r="F45" i="13"/>
  <c r="L52" i="13"/>
  <c r="I45" i="13"/>
  <c r="U42" i="13"/>
  <c r="O42" i="13"/>
  <c r="X51" i="13"/>
  <c r="Q51" i="13"/>
  <c r="CX47" i="13"/>
  <c r="DA51" i="13"/>
  <c r="L47" i="13"/>
  <c r="R52" i="13"/>
  <c r="R48" i="13"/>
  <c r="H46" i="13"/>
  <c r="H42" i="13"/>
  <c r="V19" i="13"/>
  <c r="U46" i="13"/>
  <c r="Q42" i="13"/>
  <c r="R49" i="13"/>
  <c r="O51" i="13"/>
  <c r="Q53" i="13"/>
  <c r="R51" i="13"/>
  <c r="R43" i="13"/>
  <c r="I53" i="13"/>
  <c r="Y47" i="13"/>
  <c r="N19" i="13"/>
  <c r="S53" i="13"/>
  <c r="DA54" i="13"/>
  <c r="CZ42" i="13"/>
  <c r="V46" i="13"/>
  <c r="S45" i="13"/>
  <c r="F51" i="13"/>
  <c r="R50" i="13"/>
  <c r="Y52" i="13"/>
  <c r="Q46" i="13"/>
  <c r="J50" i="13"/>
  <c r="K53" i="13"/>
  <c r="CY45" i="13"/>
  <c r="CZ47" i="13"/>
  <c r="Q48" i="13"/>
  <c r="X19" i="13"/>
  <c r="P44" i="13"/>
  <c r="G54" i="13"/>
  <c r="Q19" i="13"/>
  <c r="U50" i="13"/>
  <c r="S52" i="13"/>
  <c r="N47" i="13"/>
  <c r="G47" i="13"/>
  <c r="CW53" i="13"/>
  <c r="CX49" i="13"/>
  <c r="CY48" i="13"/>
  <c r="CZ44" i="13"/>
  <c r="CZ61" i="13"/>
  <c r="J54" i="13"/>
  <c r="K46" i="13"/>
  <c r="L49" i="13"/>
  <c r="K45" i="13"/>
  <c r="P47" i="13"/>
  <c r="W49" i="13"/>
  <c r="N46" i="13"/>
  <c r="N48" i="13"/>
  <c r="I44" i="13"/>
  <c r="DA19" i="13"/>
  <c r="G19" i="13"/>
  <c r="X52" i="13"/>
  <c r="H47" i="13"/>
  <c r="M50" i="13"/>
  <c r="W50" i="13"/>
  <c r="L45" i="13"/>
  <c r="G51" i="13"/>
  <c r="M19" i="13"/>
  <c r="H50" i="13"/>
  <c r="CW45" i="13"/>
  <c r="CX54" i="13"/>
  <c r="CZ51" i="13"/>
  <c r="CX45" i="13"/>
  <c r="CZ49" i="13"/>
  <c r="Y49" i="13"/>
  <c r="U51" i="13"/>
  <c r="G50" i="13"/>
  <c r="W46" i="13"/>
  <c r="G46" i="13"/>
  <c r="R45" i="13"/>
  <c r="U44" i="13"/>
  <c r="I19" i="13"/>
  <c r="K47" i="13"/>
  <c r="K52" i="13"/>
  <c r="Q47" i="13"/>
  <c r="I51" i="13"/>
  <c r="L46" i="13"/>
  <c r="W42" i="13"/>
  <c r="F52" i="13"/>
  <c r="P46" i="13"/>
  <c r="P54" i="13"/>
  <c r="CY19" i="13"/>
  <c r="DA50" i="13"/>
  <c r="D16" i="13"/>
  <c r="E16" i="13"/>
  <c r="CW19" i="13"/>
  <c r="X45" i="13"/>
  <c r="J19" i="13"/>
  <c r="N44" i="13"/>
  <c r="H49" i="13"/>
  <c r="T51" i="13"/>
  <c r="K54" i="13"/>
  <c r="W51" i="13"/>
  <c r="U48" i="13"/>
  <c r="M54" i="13"/>
  <c r="U54" i="13"/>
  <c r="T50" i="13"/>
  <c r="F43" i="13"/>
  <c r="L51" i="13"/>
  <c r="T19" i="13"/>
  <c r="Q43" i="13"/>
  <c r="M53" i="13"/>
  <c r="H54" i="13"/>
  <c r="DA45" i="13"/>
  <c r="CX52" i="13"/>
  <c r="O44" i="13"/>
  <c r="M52" i="13"/>
  <c r="T45" i="13"/>
  <c r="X47" i="13"/>
  <c r="S42" i="13"/>
  <c r="R42" i="13"/>
  <c r="G53" i="13"/>
  <c r="I43" i="13"/>
  <c r="G44" i="13"/>
  <c r="CY51" i="13"/>
  <c r="Y48" i="13"/>
  <c r="J44" i="13"/>
  <c r="N49" i="13"/>
  <c r="M45" i="13"/>
  <c r="V45" i="13"/>
  <c r="W19" i="13"/>
  <c r="N45" i="13"/>
  <c r="I42" i="13"/>
  <c r="V54" i="13"/>
  <c r="CW49" i="13"/>
  <c r="CY53" i="13"/>
  <c r="CW43" i="13"/>
  <c r="CY43" i="13"/>
  <c r="CY60" i="13"/>
  <c r="N54" i="13"/>
  <c r="P53" i="13"/>
  <c r="L53" i="13"/>
  <c r="M46" i="13"/>
  <c r="F48" i="13"/>
  <c r="N50" i="13"/>
  <c r="X53" i="13"/>
  <c r="J46" i="13"/>
  <c r="S51" i="13"/>
  <c r="CX46" i="13"/>
  <c r="CZ43" i="13"/>
  <c r="J52" i="13"/>
  <c r="T44" i="13"/>
  <c r="K50" i="13"/>
  <c r="M44" i="13"/>
  <c r="P45" i="13"/>
  <c r="O53" i="13"/>
  <c r="U53" i="13"/>
  <c r="W43" i="13"/>
  <c r="Q49" i="13"/>
  <c r="CW61" i="13"/>
  <c r="CW51" i="13"/>
  <c r="CX53" i="13"/>
  <c r="CW48" i="13"/>
  <c r="DA27" i="13"/>
  <c r="CY27" i="13"/>
  <c r="DA61" i="13"/>
  <c r="CW64" i="13"/>
  <c r="CW30" i="13"/>
  <c r="CX30" i="13"/>
  <c r="CX66" i="13"/>
  <c r="DA32" i="13"/>
  <c r="CW66" i="13"/>
  <c r="CW68" i="13"/>
  <c r="CX34" i="13"/>
  <c r="CZ27" i="13"/>
  <c r="CX27" i="13"/>
  <c r="CW52" i="13"/>
  <c r="CW27" i="13"/>
  <c r="CX61" i="13"/>
  <c r="CZ64" i="13"/>
  <c r="CZ30" i="13"/>
  <c r="CX32" i="13"/>
  <c r="CW32" i="13"/>
  <c r="CY68" i="13"/>
  <c r="CW34" i="13"/>
  <c r="DA68" i="13"/>
  <c r="DA64" i="13"/>
  <c r="CY64" i="13"/>
  <c r="DA66" i="13"/>
  <c r="CZ32" i="13"/>
  <c r="CZ34" i="13"/>
  <c r="CZ68" i="13"/>
  <c r="CZ36" i="13"/>
  <c r="CZ70" i="13"/>
  <c r="CW36" i="13"/>
  <c r="CY70" i="13"/>
  <c r="CX26" i="13"/>
  <c r="DA36" i="13"/>
  <c r="DA70" i="13"/>
  <c r="CY26" i="13"/>
  <c r="CY30" i="13"/>
  <c r="CX64" i="13"/>
  <c r="DA30" i="13"/>
  <c r="CY32" i="13"/>
  <c r="CY66" i="13"/>
  <c r="CZ66" i="13"/>
  <c r="DA34" i="13"/>
  <c r="CY34" i="13"/>
  <c r="CX68" i="13"/>
  <c r="CW70" i="13"/>
  <c r="CW26" i="13"/>
  <c r="CZ26" i="13"/>
  <c r="DA26" i="13"/>
  <c r="CX36" i="13"/>
  <c r="CY36" i="13"/>
  <c r="CX70" i="13"/>
  <c r="CZ60" i="13"/>
  <c r="CW60" i="13"/>
  <c r="CX60" i="13"/>
  <c r="K101" i="12"/>
  <c r="K101" i="7"/>
  <c r="D101" i="7"/>
  <c r="D22" i="7"/>
  <c r="D24" i="7"/>
  <c r="D4" i="13"/>
  <c r="CQ4" i="13"/>
  <c r="CU4" i="13"/>
  <c r="CV4" i="13"/>
  <c r="CR4" i="13"/>
  <c r="DA4" i="13"/>
  <c r="CY4" i="13"/>
  <c r="CT4" i="13"/>
  <c r="CZ4" i="13"/>
  <c r="CS4" i="13"/>
  <c r="CW4" i="13"/>
  <c r="CX4" i="13"/>
  <c r="CT10" i="13"/>
  <c r="CV10" i="13"/>
  <c r="CU10" i="13"/>
  <c r="D10" i="13"/>
  <c r="CS10" i="13"/>
  <c r="CR10" i="13"/>
  <c r="CQ10" i="13"/>
  <c r="CX10" i="13"/>
  <c r="CY10" i="13"/>
  <c r="DA10" i="13"/>
  <c r="CZ10" i="13"/>
  <c r="CW10" i="13"/>
  <c r="DA40" i="13"/>
  <c r="CX40" i="13"/>
  <c r="CW40" i="13"/>
  <c r="CS40" i="13"/>
  <c r="CY40" i="13"/>
  <c r="CV40" i="13"/>
  <c r="CR40" i="13"/>
  <c r="CZ40" i="13"/>
  <c r="CT40" i="13"/>
  <c r="CU40" i="13"/>
  <c r="CQ40" i="13"/>
  <c r="E13" i="13"/>
  <c r="CX8" i="13"/>
  <c r="CV8" i="13"/>
  <c r="CU8" i="13"/>
  <c r="D8" i="13"/>
  <c r="CQ8" i="13"/>
  <c r="CW8" i="13"/>
  <c r="CT8" i="13"/>
  <c r="CY8" i="13"/>
  <c r="DA8" i="13"/>
  <c r="CZ8" i="13"/>
  <c r="CS8" i="13"/>
  <c r="CR8" i="13"/>
  <c r="E9" i="13"/>
  <c r="CY17" i="13"/>
  <c r="CQ17" i="13"/>
  <c r="CU17" i="13"/>
  <c r="DA17" i="13"/>
  <c r="CT17" i="13"/>
  <c r="CX17" i="13"/>
  <c r="CZ17" i="13"/>
  <c r="CS17" i="13"/>
  <c r="CV17" i="13"/>
  <c r="CR17" i="13"/>
  <c r="CW17" i="13"/>
  <c r="CV5" i="13"/>
  <c r="CU5" i="13"/>
  <c r="CZ5" i="13"/>
  <c r="CX5" i="13"/>
  <c r="D5" i="13"/>
  <c r="CQ5" i="13"/>
  <c r="CR5" i="13"/>
  <c r="CS5" i="13"/>
  <c r="CT5" i="13"/>
  <c r="CY5" i="13"/>
  <c r="CW5" i="13"/>
  <c r="DA5" i="13"/>
  <c r="CU14" i="13"/>
  <c r="CV14" i="13"/>
  <c r="CZ14" i="13"/>
  <c r="CX14" i="13"/>
  <c r="CT14" i="13"/>
  <c r="CW14" i="13"/>
  <c r="DA14" i="13"/>
  <c r="D14" i="13"/>
  <c r="CR14" i="13"/>
  <c r="CY14" i="13"/>
  <c r="CQ14" i="13"/>
  <c r="CS14" i="13"/>
  <c r="CY18" i="13"/>
  <c r="CW18" i="13"/>
  <c r="CV18" i="13"/>
  <c r="CZ18" i="13"/>
  <c r="CU18" i="13"/>
  <c r="CR18" i="13"/>
  <c r="CT18" i="13"/>
  <c r="DA18" i="13"/>
  <c r="CX18" i="13"/>
  <c r="CS18" i="13"/>
  <c r="CQ18" i="13"/>
  <c r="E3" i="13"/>
  <c r="CT39" i="13"/>
  <c r="CV39" i="13"/>
  <c r="CW39" i="13"/>
  <c r="CU39" i="13"/>
  <c r="CR39" i="13"/>
  <c r="CX39" i="13"/>
  <c r="CQ39" i="13"/>
  <c r="CS39" i="13"/>
  <c r="CY39" i="13"/>
  <c r="DA39" i="13"/>
  <c r="CZ39" i="13"/>
  <c r="BX39" i="13"/>
  <c r="CN39" i="13"/>
  <c r="CA39" i="13"/>
  <c r="CG39" i="13"/>
  <c r="CC39" i="13"/>
  <c r="BY39" i="13"/>
  <c r="BZ39" i="13"/>
  <c r="CL39" i="13"/>
  <c r="CD39" i="13"/>
  <c r="CI39" i="13"/>
  <c r="CB39" i="13"/>
  <c r="CJ39" i="13"/>
  <c r="CM39" i="13"/>
  <c r="CE39" i="13"/>
  <c r="BW39" i="13"/>
  <c r="CH39" i="13"/>
  <c r="CO39" i="13"/>
  <c r="CF39" i="13"/>
  <c r="CP39" i="13"/>
  <c r="CK39" i="13"/>
  <c r="CJ18" i="13"/>
  <c r="CO18" i="13"/>
  <c r="CK18" i="13"/>
  <c r="CG18" i="13"/>
  <c r="BZ18" i="13"/>
  <c r="CB18" i="13"/>
  <c r="CL18" i="13"/>
  <c r="CD18" i="13"/>
  <c r="CA18" i="13"/>
  <c r="CI18" i="13"/>
  <c r="CN18" i="13"/>
  <c r="CF18" i="13"/>
  <c r="BY18" i="13"/>
  <c r="BX18" i="13"/>
  <c r="CC18" i="13"/>
  <c r="CH18" i="13"/>
  <c r="BW18" i="13"/>
  <c r="CE18" i="13"/>
  <c r="CM18" i="13"/>
  <c r="CP18" i="13"/>
  <c r="CL17" i="13"/>
  <c r="CG17" i="13"/>
  <c r="CM17" i="13"/>
  <c r="BX17" i="13"/>
  <c r="CP17" i="13"/>
  <c r="CC17" i="13"/>
  <c r="CD17" i="13"/>
  <c r="CN17" i="13"/>
  <c r="BW17" i="13"/>
  <c r="CJ17" i="13"/>
  <c r="CB17" i="13"/>
  <c r="CI17" i="13"/>
  <c r="CE17" i="13"/>
  <c r="BZ17" i="13"/>
  <c r="CH17" i="13"/>
  <c r="CO17" i="13"/>
  <c r="CF17" i="13"/>
  <c r="CA17" i="13"/>
  <c r="CK17" i="13"/>
  <c r="BY17" i="13"/>
  <c r="CC40" i="13"/>
  <c r="CO40" i="13"/>
  <c r="CD40" i="13"/>
  <c r="CG40" i="13"/>
  <c r="CF40" i="13"/>
  <c r="BZ40" i="13"/>
  <c r="CP40" i="13"/>
  <c r="BY40" i="13"/>
  <c r="CM40" i="13"/>
  <c r="CJ40" i="13"/>
  <c r="CI40" i="13"/>
  <c r="CH40" i="13"/>
  <c r="CK40" i="13"/>
  <c r="BX40" i="13"/>
  <c r="CE40" i="13"/>
  <c r="CB40" i="13"/>
  <c r="BW40" i="13"/>
  <c r="CL40" i="13"/>
  <c r="CN40" i="13"/>
  <c r="CA40" i="13"/>
  <c r="R17" i="13"/>
  <c r="K17" i="13"/>
  <c r="X17" i="13"/>
  <c r="AD17" i="13"/>
  <c r="AM17" i="13"/>
  <c r="H17" i="13"/>
  <c r="AO17" i="13"/>
  <c r="V17" i="13"/>
  <c r="AB17" i="13"/>
  <c r="J17" i="13"/>
  <c r="U17" i="13"/>
  <c r="G17" i="13"/>
  <c r="AQ17" i="13"/>
  <c r="Y17" i="13"/>
  <c r="F17" i="13"/>
  <c r="AE17" i="13"/>
  <c r="AJ17" i="13"/>
  <c r="AK17" i="13"/>
  <c r="O17" i="13"/>
  <c r="AA17" i="13"/>
  <c r="S17" i="13"/>
  <c r="AR17" i="13"/>
  <c r="W17" i="13"/>
  <c r="M17" i="13"/>
  <c r="AN17" i="13"/>
  <c r="N17" i="13"/>
  <c r="AF17" i="13"/>
  <c r="T17" i="13"/>
  <c r="AG17" i="13"/>
  <c r="I17" i="13"/>
  <c r="L17" i="13"/>
  <c r="AL17" i="13"/>
  <c r="P17" i="13"/>
  <c r="AP17" i="13"/>
  <c r="AH17" i="13"/>
  <c r="Q17" i="13"/>
  <c r="Z17" i="13"/>
  <c r="AI17" i="13"/>
  <c r="AC17" i="13"/>
  <c r="AC40" i="13"/>
  <c r="V40" i="13"/>
  <c r="AD40" i="13"/>
  <c r="AM40" i="13"/>
  <c r="P40" i="13"/>
  <c r="AG40" i="13"/>
  <c r="J40" i="13"/>
  <c r="AI40" i="13"/>
  <c r="L40" i="13"/>
  <c r="M40" i="13"/>
  <c r="AB40" i="13"/>
  <c r="AK40" i="13"/>
  <c r="X40" i="13"/>
  <c r="T40" i="13"/>
  <c r="G40" i="13"/>
  <c r="F40" i="13"/>
  <c r="AP40" i="13"/>
  <c r="AF40" i="13"/>
  <c r="O40" i="13"/>
  <c r="AQ40" i="13"/>
  <c r="AE40" i="13"/>
  <c r="Y40" i="13"/>
  <c r="R40" i="13"/>
  <c r="AR40" i="13"/>
  <c r="Z40" i="13"/>
  <c r="AJ40" i="13"/>
  <c r="K40" i="13"/>
  <c r="AN40" i="13"/>
  <c r="H40" i="13"/>
  <c r="S40" i="13"/>
  <c r="AA40" i="13"/>
  <c r="AH40" i="13"/>
  <c r="I40" i="13"/>
  <c r="AL40" i="13"/>
  <c r="N40" i="13"/>
  <c r="Q40" i="13"/>
  <c r="AO40" i="13"/>
  <c r="W40" i="13"/>
  <c r="U40" i="13"/>
  <c r="G39" i="13"/>
  <c r="AG39" i="13"/>
  <c r="M39" i="13"/>
  <c r="K39" i="13"/>
  <c r="N39" i="13"/>
  <c r="F39" i="13"/>
  <c r="AP39" i="13"/>
  <c r="P39" i="13"/>
  <c r="AA39" i="13"/>
  <c r="J39" i="13"/>
  <c r="AF39" i="13"/>
  <c r="AR39" i="13"/>
  <c r="AN39" i="13"/>
  <c r="AL39" i="13"/>
  <c r="AK39" i="13"/>
  <c r="Z39" i="13"/>
  <c r="Y39" i="13"/>
  <c r="H39" i="13"/>
  <c r="AD39" i="13"/>
  <c r="S39" i="13"/>
  <c r="O39" i="13"/>
  <c r="I39" i="13"/>
  <c r="AJ39" i="13"/>
  <c r="AB39" i="13"/>
  <c r="AC39" i="13"/>
  <c r="T39" i="13"/>
  <c r="L39" i="13"/>
  <c r="W39" i="13"/>
  <c r="AE39" i="13"/>
  <c r="AI39" i="13"/>
  <c r="R39" i="13"/>
  <c r="Q39" i="13"/>
  <c r="AO39" i="13"/>
  <c r="AM39" i="13"/>
  <c r="AQ39" i="13"/>
  <c r="U39" i="13"/>
  <c r="X39" i="13"/>
  <c r="AH39" i="13"/>
  <c r="V39" i="13"/>
  <c r="AP18" i="13"/>
  <c r="R18" i="13"/>
  <c r="AD18" i="13"/>
  <c r="AL18" i="13"/>
  <c r="L18" i="13"/>
  <c r="S18" i="13"/>
  <c r="V18" i="13"/>
  <c r="T18" i="13"/>
  <c r="I18" i="13"/>
  <c r="AK18" i="13"/>
  <c r="AQ18" i="13"/>
  <c r="AH18" i="13"/>
  <c r="Q18" i="13"/>
  <c r="AN18" i="13"/>
  <c r="W18" i="13"/>
  <c r="Z18" i="13"/>
  <c r="G18" i="13"/>
  <c r="AR18" i="13"/>
  <c r="AE18" i="13"/>
  <c r="M18" i="13"/>
  <c r="AB18" i="13"/>
  <c r="AC18" i="13"/>
  <c r="U18" i="13"/>
  <c r="AI18" i="13"/>
  <c r="H18" i="13"/>
  <c r="AO18" i="13"/>
  <c r="AF18" i="13"/>
  <c r="AA18" i="13"/>
  <c r="AG18" i="13"/>
  <c r="J18" i="13"/>
  <c r="AM18" i="13"/>
  <c r="K18" i="13"/>
  <c r="F18" i="13"/>
  <c r="O18" i="13"/>
  <c r="P18" i="13"/>
  <c r="Y18" i="13"/>
  <c r="AJ18" i="13"/>
  <c r="N18" i="13"/>
  <c r="X18" i="13"/>
  <c r="BH39" i="13"/>
  <c r="BR39" i="13"/>
  <c r="AV39" i="13"/>
  <c r="BB39" i="13"/>
  <c r="BC39" i="13"/>
  <c r="BU39" i="13"/>
  <c r="BN39" i="13"/>
  <c r="AT39" i="13"/>
  <c r="AU39" i="13"/>
  <c r="BK39" i="13"/>
  <c r="BG39" i="13"/>
  <c r="BE39" i="13"/>
  <c r="BM39" i="13"/>
  <c r="AX39" i="13"/>
  <c r="BV39" i="13"/>
  <c r="BS39" i="13"/>
  <c r="BT39" i="13"/>
  <c r="AY39" i="13"/>
  <c r="BA39" i="13"/>
  <c r="BL39" i="13"/>
  <c r="BJ39" i="13"/>
  <c r="BP39" i="13"/>
  <c r="BQ39" i="13"/>
  <c r="AZ39" i="13"/>
  <c r="BF39" i="13"/>
  <c r="BO39" i="13"/>
  <c r="AS39" i="13"/>
  <c r="BD39" i="13"/>
  <c r="AW39" i="13"/>
  <c r="BI39" i="13"/>
  <c r="BB18" i="13"/>
  <c r="AU18" i="13"/>
  <c r="AX18" i="13"/>
  <c r="BG18" i="13"/>
  <c r="BA18" i="13"/>
  <c r="BC18" i="13"/>
  <c r="BF18" i="13"/>
  <c r="BS18" i="13"/>
  <c r="BJ18" i="13"/>
  <c r="BD18" i="13"/>
  <c r="BI18" i="13"/>
  <c r="BK18" i="13"/>
  <c r="AT18" i="13"/>
  <c r="BM18" i="13"/>
  <c r="BH18" i="13"/>
  <c r="AS18" i="13"/>
  <c r="BU18" i="13"/>
  <c r="AZ18" i="13"/>
  <c r="AW18" i="13"/>
  <c r="BR18" i="13"/>
  <c r="BN18" i="13"/>
  <c r="BO18" i="13"/>
  <c r="BV18" i="13"/>
  <c r="BP18" i="13"/>
  <c r="BQ18" i="13"/>
  <c r="BL18" i="13"/>
  <c r="AV18" i="13"/>
  <c r="BT18" i="13"/>
  <c r="AY18" i="13"/>
  <c r="BE18" i="13"/>
  <c r="BO17" i="13"/>
  <c r="BK17" i="13"/>
  <c r="AW17" i="13"/>
  <c r="BQ17" i="13"/>
  <c r="BH17" i="13"/>
  <c r="BM17" i="13"/>
  <c r="BD17" i="13"/>
  <c r="AS17" i="13"/>
  <c r="BP17" i="13"/>
  <c r="BL17" i="13"/>
  <c r="AV17" i="13"/>
  <c r="BS17" i="13"/>
  <c r="BG17" i="13"/>
  <c r="AX17" i="13"/>
  <c r="BE17" i="13"/>
  <c r="BT17" i="13"/>
  <c r="BR17" i="13"/>
  <c r="BI17" i="13"/>
  <c r="BA17" i="13"/>
  <c r="AU17" i="13"/>
  <c r="BV17" i="13"/>
  <c r="BU17" i="13"/>
  <c r="BN17" i="13"/>
  <c r="AY17" i="13"/>
  <c r="BB17" i="13"/>
  <c r="AZ17" i="13"/>
  <c r="BJ17" i="13"/>
  <c r="BC17" i="13"/>
  <c r="BF17" i="13"/>
  <c r="AT17" i="13"/>
  <c r="AS40" i="13"/>
  <c r="BU40" i="13"/>
  <c r="BB40" i="13"/>
  <c r="BO40" i="13"/>
  <c r="BL40" i="13"/>
  <c r="BQ40" i="13"/>
  <c r="BM40" i="13"/>
  <c r="AW40" i="13"/>
  <c r="BA40" i="13"/>
  <c r="BD40" i="13"/>
  <c r="AU40" i="13"/>
  <c r="AT40" i="13"/>
  <c r="BS40" i="13"/>
  <c r="BJ40" i="13"/>
  <c r="BC40" i="13"/>
  <c r="BN40" i="13"/>
  <c r="BV40" i="13"/>
  <c r="BR40" i="13"/>
  <c r="BP40" i="13"/>
  <c r="AY40" i="13"/>
  <c r="AZ40" i="13"/>
  <c r="BF40" i="13"/>
  <c r="BE40" i="13"/>
  <c r="BI40" i="13"/>
  <c r="AX40" i="13"/>
  <c r="AV40" i="13"/>
  <c r="BK40" i="13"/>
  <c r="BG40" i="13"/>
  <c r="BT40" i="13"/>
  <c r="BH40" i="13"/>
  <c r="CY25" i="13"/>
  <c r="CZ59" i="13"/>
  <c r="CY59" i="13"/>
  <c r="CW59" i="13"/>
  <c r="DA25" i="13"/>
  <c r="CW25" i="13"/>
  <c r="CX59" i="13"/>
  <c r="DA59" i="13"/>
  <c r="CZ25" i="13"/>
  <c r="CX25" i="13"/>
  <c r="CW65" i="13"/>
  <c r="CZ31" i="13"/>
  <c r="CY31" i="13"/>
  <c r="CX31" i="13"/>
  <c r="CW31" i="13"/>
  <c r="CX65" i="13"/>
  <c r="DA65" i="13"/>
  <c r="DA31" i="13"/>
  <c r="CZ65" i="13"/>
  <c r="CY65" i="13"/>
  <c r="CY13" i="13"/>
  <c r="CX13" i="13"/>
  <c r="D13" i="13"/>
  <c r="CQ13" i="13"/>
  <c r="CT13" i="13"/>
  <c r="DA13" i="13"/>
  <c r="CU13" i="13"/>
  <c r="CS13" i="13"/>
  <c r="CZ13" i="13"/>
  <c r="CR13" i="13"/>
  <c r="CW13" i="13"/>
  <c r="CV13" i="13"/>
  <c r="CT3" i="13"/>
  <c r="CU3" i="13"/>
  <c r="D3" i="13"/>
  <c r="CR3" i="13"/>
  <c r="CS3" i="13"/>
  <c r="CQ3" i="13"/>
  <c r="CY3" i="13"/>
  <c r="CX3" i="13"/>
  <c r="CZ3" i="13"/>
  <c r="DA3" i="13"/>
  <c r="CV3" i="13"/>
  <c r="CW3" i="13"/>
  <c r="CV9" i="13"/>
  <c r="CX9" i="13"/>
  <c r="CU9" i="13"/>
  <c r="CZ9" i="13"/>
  <c r="CY9" i="13"/>
  <c r="D9" i="13"/>
  <c r="CR9" i="13"/>
  <c r="CW9" i="13"/>
  <c r="CS9" i="13"/>
  <c r="CT9" i="13"/>
  <c r="CQ9" i="13"/>
  <c r="DA9" i="13"/>
  <c r="DA35" i="13"/>
  <c r="CX35" i="13"/>
  <c r="CZ35" i="13"/>
  <c r="CW69" i="13"/>
  <c r="CX69" i="13"/>
  <c r="DA69" i="13"/>
  <c r="CZ69" i="13"/>
  <c r="CY35" i="13"/>
  <c r="CY69" i="13"/>
  <c r="CW35" i="13"/>
  <c r="L23" i="7"/>
  <c r="L23" i="12"/>
  <c r="I52" i="1"/>
  <c r="K101" i="8"/>
  <c r="E7" i="13"/>
  <c r="E15" i="13"/>
  <c r="L52" i="7"/>
  <c r="C80" i="9"/>
  <c r="C84" i="9"/>
  <c r="B87" i="9"/>
  <c r="D87" i="9"/>
  <c r="C87" i="9"/>
  <c r="B80" i="9"/>
  <c r="B84" i="9"/>
  <c r="D80" i="9"/>
  <c r="D84" i="9"/>
  <c r="D7" i="13"/>
  <c r="B15" i="13"/>
  <c r="B12" i="13"/>
  <c r="B9" i="13"/>
  <c r="B5" i="13"/>
  <c r="C10" i="13"/>
  <c r="D11" i="13"/>
  <c r="B14" i="13"/>
  <c r="B11" i="13"/>
  <c r="B8" i="13"/>
  <c r="B4" i="13"/>
  <c r="C6" i="13"/>
  <c r="C15" i="13"/>
  <c r="C12" i="13"/>
  <c r="C9" i="13"/>
  <c r="D15" i="13"/>
  <c r="CS15" i="13"/>
  <c r="CW15" i="13"/>
  <c r="CV15" i="13"/>
  <c r="CU15" i="13"/>
  <c r="CZ15" i="13"/>
  <c r="CY15" i="13"/>
  <c r="CQ15" i="13"/>
  <c r="CX15" i="13"/>
  <c r="CT15" i="13"/>
  <c r="CR15" i="13"/>
  <c r="DA15" i="13"/>
  <c r="DA63" i="13"/>
  <c r="CY63" i="13"/>
  <c r="CW63" i="13"/>
  <c r="CZ29" i="13"/>
  <c r="CY29" i="13"/>
  <c r="CX63" i="13"/>
  <c r="CX29" i="13"/>
  <c r="CZ63" i="13"/>
  <c r="DA29" i="13"/>
  <c r="CW29" i="13"/>
  <c r="CQ46" i="13"/>
  <c r="CS46" i="13"/>
  <c r="CJ46" i="13"/>
  <c r="CN46" i="13"/>
  <c r="CM46" i="13"/>
  <c r="CI46" i="13"/>
  <c r="CV46" i="13"/>
  <c r="CT46" i="13"/>
  <c r="CH46" i="13"/>
  <c r="CO46" i="13"/>
  <c r="CP46" i="13"/>
  <c r="CL46" i="13"/>
  <c r="CU46" i="13"/>
  <c r="CK46" i="13"/>
  <c r="E11" i="13"/>
  <c r="K101" i="1"/>
  <c r="B7" i="13"/>
  <c r="C5" i="13"/>
  <c r="C14" i="13"/>
  <c r="C11" i="13"/>
  <c r="C8" i="13"/>
  <c r="D6" i="13"/>
  <c r="B10" i="13"/>
  <c r="B6" i="13"/>
  <c r="C4" i="13"/>
  <c r="C7" i="13"/>
  <c r="D101" i="12"/>
  <c r="D22" i="12"/>
  <c r="D24" i="12"/>
  <c r="D101" i="1"/>
  <c r="D22" i="1"/>
  <c r="D24" i="1"/>
  <c r="DA37" i="13"/>
  <c r="CM54" i="13"/>
  <c r="CY71" i="13"/>
  <c r="CV54" i="13"/>
  <c r="CY37" i="13"/>
  <c r="CZ71" i="13"/>
  <c r="CJ54" i="13"/>
  <c r="CL54" i="13"/>
  <c r="DA71" i="13"/>
  <c r="CX37" i="13"/>
  <c r="CS54" i="13"/>
  <c r="CK54" i="13"/>
  <c r="CX71" i="13"/>
  <c r="CH54" i="13"/>
  <c r="CZ37" i="13"/>
  <c r="CU54" i="13"/>
  <c r="CI54" i="13"/>
  <c r="CW71" i="13"/>
  <c r="CP54" i="13"/>
  <c r="CO54" i="13"/>
  <c r="CN54" i="13"/>
  <c r="CT54" i="13"/>
  <c r="CQ54" i="13"/>
  <c r="CW37" i="13"/>
  <c r="CT7" i="13"/>
  <c r="CV7" i="13"/>
  <c r="CW7" i="13"/>
  <c r="CY7" i="13"/>
  <c r="CX7" i="13"/>
  <c r="CZ7" i="13"/>
  <c r="CU7" i="13"/>
  <c r="CQ7" i="13"/>
  <c r="CS7" i="13"/>
  <c r="CR7" i="13"/>
  <c r="DA7" i="13"/>
  <c r="S23" i="7"/>
  <c r="D101" i="8"/>
  <c r="D22" i="8"/>
  <c r="D24" i="8"/>
  <c r="BU7" i="13"/>
  <c r="BO7" i="13"/>
  <c r="BH7" i="13"/>
  <c r="BF7" i="13"/>
  <c r="BE7" i="13"/>
  <c r="BM7" i="13"/>
  <c r="AZ7" i="13"/>
  <c r="BD7" i="13"/>
  <c r="AU7" i="13"/>
  <c r="BN7" i="13"/>
  <c r="AW7" i="13"/>
  <c r="BR7" i="13"/>
  <c r="AT7" i="13"/>
  <c r="BT7" i="13"/>
  <c r="AX7" i="13"/>
  <c r="BJ7" i="13"/>
  <c r="BA7" i="13"/>
  <c r="BK7" i="13"/>
  <c r="BP7" i="13"/>
  <c r="AS7" i="13"/>
  <c r="AV7" i="13"/>
  <c r="BC7" i="13"/>
  <c r="BG7" i="13"/>
  <c r="BI7" i="13"/>
  <c r="AY7" i="13"/>
  <c r="BS7" i="13"/>
  <c r="BQ7" i="13"/>
  <c r="BB7" i="13"/>
  <c r="BL7" i="13"/>
  <c r="BV7" i="13"/>
  <c r="W28" i="13"/>
  <c r="BD28" i="13"/>
  <c r="Q28" i="13"/>
  <c r="AP28" i="13"/>
  <c r="N28" i="13"/>
  <c r="AR28" i="13"/>
  <c r="AS28" i="13"/>
  <c r="AB28" i="13"/>
  <c r="AM28" i="13"/>
  <c r="S28" i="13"/>
  <c r="Z28" i="13"/>
  <c r="U28" i="13"/>
  <c r="BB28" i="13"/>
  <c r="AL28" i="13"/>
  <c r="AO28" i="13"/>
  <c r="Y28" i="13"/>
  <c r="V28" i="13"/>
  <c r="AG28" i="13"/>
  <c r="AE28" i="13"/>
  <c r="AX28" i="13"/>
  <c r="AA28" i="13"/>
  <c r="H28" i="13"/>
  <c r="AH28" i="13"/>
  <c r="M28" i="13"/>
  <c r="AV28" i="13"/>
  <c r="G28" i="13"/>
  <c r="BG28" i="13"/>
  <c r="AI28" i="13"/>
  <c r="T28" i="13"/>
  <c r="AW28" i="13"/>
  <c r="J28" i="13"/>
  <c r="AC28" i="13"/>
  <c r="AY28" i="13"/>
  <c r="AJ28" i="13"/>
  <c r="AU28" i="13"/>
  <c r="BH28" i="13"/>
  <c r="X28" i="13"/>
  <c r="I28" i="13"/>
  <c r="AF28" i="13"/>
  <c r="AT28" i="13"/>
  <c r="AN28" i="13"/>
  <c r="R28" i="13"/>
  <c r="BA28" i="13"/>
  <c r="F28" i="13"/>
  <c r="BF28" i="13"/>
  <c r="L28" i="13"/>
  <c r="AZ28" i="13"/>
  <c r="AD28" i="13"/>
  <c r="P28" i="13"/>
  <c r="BE28" i="13"/>
  <c r="O28" i="13"/>
  <c r="AQ28" i="13"/>
  <c r="K28" i="13"/>
  <c r="AK28" i="13"/>
  <c r="BC28" i="13"/>
  <c r="B13" i="13"/>
  <c r="CC49" i="13"/>
  <c r="BN49" i="13"/>
  <c r="CQ32" i="13"/>
  <c r="BI49" i="13"/>
  <c r="CV32" i="13"/>
  <c r="CS32" i="13"/>
  <c r="CP49" i="13"/>
  <c r="BW49" i="13"/>
  <c r="CF49" i="13"/>
  <c r="BJ49" i="13"/>
  <c r="CK32" i="13"/>
  <c r="CQ49" i="13"/>
  <c r="CJ49" i="13"/>
  <c r="CH49" i="13"/>
  <c r="CS49" i="13"/>
  <c r="CH66" i="13"/>
  <c r="CA49" i="13"/>
  <c r="BX49" i="13"/>
  <c r="BT49" i="13"/>
  <c r="CU49" i="13"/>
  <c r="CU66" i="13"/>
  <c r="CO49" i="13"/>
  <c r="CU32" i="13"/>
  <c r="BP49" i="13"/>
  <c r="CI32" i="13"/>
  <c r="CN32" i="13"/>
  <c r="CQ66" i="13"/>
  <c r="CJ66" i="13"/>
  <c r="BO49" i="13"/>
  <c r="BK49" i="13"/>
  <c r="CB49" i="13"/>
  <c r="CE49" i="13"/>
  <c r="BV49" i="13"/>
  <c r="CT32" i="13"/>
  <c r="CG49" i="13"/>
  <c r="BQ49" i="13"/>
  <c r="CH32" i="13"/>
  <c r="CO66" i="13"/>
  <c r="CO32" i="13"/>
  <c r="BL49" i="13"/>
  <c r="CP32" i="13"/>
  <c r="CM32" i="13"/>
  <c r="CT49" i="13"/>
  <c r="CN49" i="13"/>
  <c r="CI49" i="13"/>
  <c r="CK49" i="13"/>
  <c r="CV49" i="13"/>
  <c r="CM49" i="13"/>
  <c r="CL49" i="13"/>
  <c r="CL32" i="13"/>
  <c r="CD49" i="13"/>
  <c r="BZ49" i="13"/>
  <c r="BM49" i="13"/>
  <c r="BS49" i="13"/>
  <c r="CP66" i="13"/>
  <c r="CJ32" i="13"/>
  <c r="BR49" i="13"/>
  <c r="BY49" i="13"/>
  <c r="CR32" i="13"/>
  <c r="CS66" i="13"/>
  <c r="CT66" i="13"/>
  <c r="CN66" i="13"/>
  <c r="CI66" i="13"/>
  <c r="CK66" i="13"/>
  <c r="CV66" i="13"/>
  <c r="CR66" i="13"/>
  <c r="CM66" i="13"/>
  <c r="CL66" i="13"/>
  <c r="AY11" i="13"/>
  <c r="AT11" i="13"/>
  <c r="BB11" i="13"/>
  <c r="BT11" i="13"/>
  <c r="BG11" i="13"/>
  <c r="BC11" i="13"/>
  <c r="BH11" i="13"/>
  <c r="AV11" i="13"/>
  <c r="BN11" i="13"/>
  <c r="BQ11" i="13"/>
  <c r="BO11" i="13"/>
  <c r="BR11" i="13"/>
  <c r="BF11" i="13"/>
  <c r="BK11" i="13"/>
  <c r="AS11" i="13"/>
  <c r="BP11" i="13"/>
  <c r="AU11" i="13"/>
  <c r="BV11" i="13"/>
  <c r="AZ11" i="13"/>
  <c r="BA11" i="13"/>
  <c r="BU11" i="13"/>
  <c r="BI11" i="13"/>
  <c r="BL11" i="13"/>
  <c r="BJ11" i="13"/>
  <c r="AW11" i="13"/>
  <c r="BS11" i="13"/>
  <c r="BM11" i="13"/>
  <c r="BD11" i="13"/>
  <c r="BE11" i="13"/>
  <c r="AX11" i="13"/>
  <c r="AX14" i="13"/>
  <c r="BH14" i="13"/>
  <c r="BN14" i="13"/>
  <c r="BO14" i="13"/>
  <c r="AV14" i="13"/>
  <c r="BA14" i="13"/>
  <c r="BI14" i="13"/>
  <c r="AS14" i="13"/>
  <c r="BK14" i="13"/>
  <c r="BL14" i="13"/>
  <c r="BE14" i="13"/>
  <c r="AY14" i="13"/>
  <c r="AW14" i="13"/>
  <c r="AZ14" i="13"/>
  <c r="BQ14" i="13"/>
  <c r="BB14" i="13"/>
  <c r="BR14" i="13"/>
  <c r="BM14" i="13"/>
  <c r="AT14" i="13"/>
  <c r="BT14" i="13"/>
  <c r="BP14" i="13"/>
  <c r="BJ14" i="13"/>
  <c r="BU14" i="13"/>
  <c r="BC14" i="13"/>
  <c r="AU14" i="13"/>
  <c r="BG14" i="13"/>
  <c r="BD14" i="13"/>
  <c r="BV14" i="13"/>
  <c r="BF14" i="13"/>
  <c r="BS14" i="13"/>
  <c r="BO27" i="13"/>
  <c r="CC27" i="13"/>
  <c r="AI44" i="13"/>
  <c r="BR27" i="13"/>
  <c r="BV27" i="13"/>
  <c r="CD27" i="13"/>
  <c r="AK44" i="13"/>
  <c r="BL27" i="13"/>
  <c r="AX44" i="13"/>
  <c r="AA44" i="13"/>
  <c r="BB44" i="13"/>
  <c r="AN44" i="13"/>
  <c r="AH44" i="13"/>
  <c r="CA27" i="13"/>
  <c r="BS27" i="13"/>
  <c r="AT44" i="13"/>
  <c r="BF44" i="13"/>
  <c r="BP27" i="13"/>
  <c r="AW44" i="13"/>
  <c r="AE44" i="13"/>
  <c r="BK27" i="13"/>
  <c r="BH44" i="13"/>
  <c r="BX27" i="13"/>
  <c r="BN27" i="13"/>
  <c r="CG27" i="13"/>
  <c r="BE44" i="13"/>
  <c r="CB27" i="13"/>
  <c r="AG44" i="13"/>
  <c r="AS44" i="13"/>
  <c r="AF44" i="13"/>
  <c r="AQ44" i="13"/>
  <c r="AV44" i="13"/>
  <c r="AR44" i="13"/>
  <c r="BW27" i="13"/>
  <c r="AM44" i="13"/>
  <c r="BC44" i="13"/>
  <c r="BA44" i="13"/>
  <c r="AU44" i="13"/>
  <c r="BD44" i="13"/>
  <c r="BQ27" i="13"/>
  <c r="CF27" i="13"/>
  <c r="BZ27" i="13"/>
  <c r="AP44" i="13"/>
  <c r="CE27" i="13"/>
  <c r="BU27" i="13"/>
  <c r="AY44" i="13"/>
  <c r="AO44" i="13"/>
  <c r="Z44" i="13"/>
  <c r="AC44" i="13"/>
  <c r="BJ27" i="13"/>
  <c r="AL44" i="13"/>
  <c r="AB44" i="13"/>
  <c r="BT27" i="13"/>
  <c r="BI27" i="13"/>
  <c r="AZ44" i="13"/>
  <c r="BM27" i="13"/>
  <c r="AJ44" i="13"/>
  <c r="BG44" i="13"/>
  <c r="BY27" i="13"/>
  <c r="Q7" i="13"/>
  <c r="Q63" i="13"/>
  <c r="M7" i="13"/>
  <c r="M63" i="13"/>
  <c r="AN7" i="13"/>
  <c r="X7" i="13"/>
  <c r="X63" i="13"/>
  <c r="G7" i="13"/>
  <c r="G63" i="13"/>
  <c r="Z7" i="13"/>
  <c r="V7" i="13"/>
  <c r="V63" i="13"/>
  <c r="O7" i="13"/>
  <c r="O63" i="13"/>
  <c r="AH7" i="13"/>
  <c r="AA7" i="13"/>
  <c r="AG7" i="13"/>
  <c r="T7" i="13"/>
  <c r="T63" i="13"/>
  <c r="AJ7" i="13"/>
  <c r="AC7" i="13"/>
  <c r="K7" i="13"/>
  <c r="K63" i="13"/>
  <c r="AP7" i="13"/>
  <c r="AO7" i="13"/>
  <c r="AB7" i="13"/>
  <c r="U7" i="13"/>
  <c r="U63" i="13"/>
  <c r="W7" i="13"/>
  <c r="W63" i="13"/>
  <c r="AD7" i="13"/>
  <c r="R7" i="13"/>
  <c r="R63" i="13"/>
  <c r="H7" i="13"/>
  <c r="H63" i="13"/>
  <c r="AR7" i="13"/>
  <c r="AF7" i="13"/>
  <c r="AQ7" i="13"/>
  <c r="P7" i="13"/>
  <c r="P63" i="13"/>
  <c r="AI7" i="13"/>
  <c r="I7" i="13"/>
  <c r="I63" i="13"/>
  <c r="L7" i="13"/>
  <c r="L63" i="13"/>
  <c r="J7" i="13"/>
  <c r="J63" i="13"/>
  <c r="AM7" i="13"/>
  <c r="N7" i="13"/>
  <c r="N63" i="13"/>
  <c r="F7" i="13"/>
  <c r="F63" i="13"/>
  <c r="Y7" i="13"/>
  <c r="Y63" i="13"/>
  <c r="AL7" i="13"/>
  <c r="S7" i="13"/>
  <c r="S63" i="13"/>
  <c r="AK7" i="13"/>
  <c r="AE7" i="13"/>
  <c r="CC5" i="13"/>
  <c r="CD5" i="13"/>
  <c r="CO5" i="13"/>
  <c r="BW5" i="13"/>
  <c r="CP5" i="13"/>
  <c r="CL5" i="13"/>
  <c r="CA5" i="13"/>
  <c r="CH5" i="13"/>
  <c r="CF5" i="13"/>
  <c r="CM5" i="13"/>
  <c r="BZ5" i="13"/>
  <c r="CN5" i="13"/>
  <c r="BY5" i="13"/>
  <c r="CI5" i="13"/>
  <c r="CK5" i="13"/>
  <c r="CB5" i="13"/>
  <c r="CG5" i="13"/>
  <c r="BX5" i="13"/>
  <c r="CJ5" i="13"/>
  <c r="CE5" i="13"/>
  <c r="BP48" i="13"/>
  <c r="CB48" i="13"/>
  <c r="BQ48" i="13"/>
  <c r="BJ48" i="13"/>
  <c r="BX48" i="13"/>
  <c r="BS48" i="13"/>
  <c r="BO48" i="13"/>
  <c r="BN48" i="13"/>
  <c r="CE48" i="13"/>
  <c r="BY48" i="13"/>
  <c r="BZ48" i="13"/>
  <c r="BL48" i="13"/>
  <c r="CA48" i="13"/>
  <c r="CC48" i="13"/>
  <c r="BR48" i="13"/>
  <c r="BM48" i="13"/>
  <c r="BT48" i="13"/>
  <c r="CD48" i="13"/>
  <c r="BW48" i="13"/>
  <c r="CG48" i="13"/>
  <c r="BK48" i="13"/>
  <c r="CF48" i="13"/>
  <c r="BV48" i="13"/>
  <c r="CU48" i="13"/>
  <c r="CU65" i="13"/>
  <c r="CN48" i="13"/>
  <c r="CL31" i="13"/>
  <c r="CL48" i="13"/>
  <c r="CK48" i="13"/>
  <c r="CK65" i="13"/>
  <c r="CK31" i="13"/>
  <c r="CT48" i="13"/>
  <c r="CT65" i="13"/>
  <c r="CS31" i="13"/>
  <c r="CV48" i="13"/>
  <c r="CV65" i="13"/>
  <c r="CI48" i="13"/>
  <c r="CH31" i="13"/>
  <c r="CM48" i="13"/>
  <c r="CR65" i="13"/>
  <c r="CU31" i="13"/>
  <c r="CP48" i="13"/>
  <c r="CP65" i="13"/>
  <c r="CS48" i="13"/>
  <c r="CM31" i="13"/>
  <c r="CJ48" i="13"/>
  <c r="CQ48" i="13"/>
  <c r="CV31" i="13"/>
  <c r="CN65" i="13"/>
  <c r="CJ31" i="13"/>
  <c r="CL65" i="13"/>
  <c r="CO31" i="13"/>
  <c r="CQ31" i="13"/>
  <c r="CI65" i="13"/>
  <c r="CI31" i="13"/>
  <c r="CM65" i="13"/>
  <c r="CP31" i="13"/>
  <c r="CS65" i="13"/>
  <c r="CR31" i="13"/>
  <c r="CJ65" i="13"/>
  <c r="CN31" i="13"/>
  <c r="CO48" i="13"/>
  <c r="CO65" i="13"/>
  <c r="CH48" i="13"/>
  <c r="CQ65" i="13"/>
  <c r="CT31" i="13"/>
  <c r="CH65" i="13"/>
  <c r="CL51" i="13"/>
  <c r="CN51" i="13"/>
  <c r="CJ34" i="13"/>
  <c r="CP34" i="13"/>
  <c r="CH51" i="13"/>
  <c r="CJ51" i="13"/>
  <c r="CT51" i="13"/>
  <c r="CU51" i="13"/>
  <c r="CO51" i="13"/>
  <c r="CO68" i="13"/>
  <c r="CL34" i="13"/>
  <c r="CL68" i="13"/>
  <c r="CK51" i="13"/>
  <c r="CK68" i="13"/>
  <c r="CV51" i="13"/>
  <c r="CS51" i="13"/>
  <c r="CS68" i="13"/>
  <c r="CP51" i="13"/>
  <c r="CU34" i="13"/>
  <c r="CV34" i="13"/>
  <c r="CJ68" i="13"/>
  <c r="CT68" i="13"/>
  <c r="CR68" i="13"/>
  <c r="CI51" i="13"/>
  <c r="CI68" i="13"/>
  <c r="CH34" i="13"/>
  <c r="CK34" i="13"/>
  <c r="CM51" i="13"/>
  <c r="CN34" i="13"/>
  <c r="CO34" i="13"/>
  <c r="CV68" i="13"/>
  <c r="CP68" i="13"/>
  <c r="CS34" i="13"/>
  <c r="CT34" i="13"/>
  <c r="CU68" i="13"/>
  <c r="CQ51" i="13"/>
  <c r="CQ68" i="13"/>
  <c r="CI34" i="13"/>
  <c r="CR34" i="13"/>
  <c r="CN68" i="13"/>
  <c r="CM68" i="13"/>
  <c r="CQ34" i="13"/>
  <c r="CM34" i="13"/>
  <c r="CH68" i="13"/>
  <c r="CF51" i="13"/>
  <c r="CD51" i="13"/>
  <c r="BT51" i="13"/>
  <c r="BN51" i="13"/>
  <c r="CE51" i="13"/>
  <c r="BR51" i="13"/>
  <c r="CB51" i="13"/>
  <c r="BJ51" i="13"/>
  <c r="BO51" i="13"/>
  <c r="BM51" i="13"/>
  <c r="BP51" i="13"/>
  <c r="BZ51" i="13"/>
  <c r="BI51" i="13"/>
  <c r="BS51" i="13"/>
  <c r="BV51" i="13"/>
  <c r="BW51" i="13"/>
  <c r="CC51" i="13"/>
  <c r="CG51" i="13"/>
  <c r="BX51" i="13"/>
  <c r="BL51" i="13"/>
  <c r="BQ51" i="13"/>
  <c r="BK51" i="13"/>
  <c r="BY51" i="13"/>
  <c r="CA51" i="13"/>
  <c r="CM15" i="13"/>
  <c r="BX15" i="13"/>
  <c r="CE15" i="13"/>
  <c r="CJ15" i="13"/>
  <c r="CC15" i="13"/>
  <c r="CD15" i="13"/>
  <c r="CI15" i="13"/>
  <c r="CL15" i="13"/>
  <c r="CH15" i="13"/>
  <c r="BY15" i="13"/>
  <c r="CB15" i="13"/>
  <c r="CF15" i="13"/>
  <c r="BZ15" i="13"/>
  <c r="CG15" i="13"/>
  <c r="CO15" i="13"/>
  <c r="BW15" i="13"/>
  <c r="CK15" i="13"/>
  <c r="CA15" i="13"/>
  <c r="CP15" i="13"/>
  <c r="CN15" i="13"/>
  <c r="CQ11" i="13"/>
  <c r="CY11" i="13"/>
  <c r="CV11" i="13"/>
  <c r="DA11" i="13"/>
  <c r="CX11" i="13"/>
  <c r="CU11" i="13"/>
  <c r="CZ11" i="13"/>
  <c r="CT11" i="13"/>
  <c r="CW11" i="13"/>
  <c r="CR11" i="13"/>
  <c r="CS11" i="13"/>
  <c r="I63" i="1"/>
  <c r="I57" i="1"/>
  <c r="AA46" i="13"/>
  <c r="AZ46" i="13"/>
  <c r="BB46" i="13"/>
  <c r="AW46" i="13"/>
  <c r="AI46" i="13"/>
  <c r="AX46" i="13"/>
  <c r="BC46" i="13"/>
  <c r="AN46" i="13"/>
  <c r="BD46" i="13"/>
  <c r="BH46" i="13"/>
  <c r="AS46" i="13"/>
  <c r="AF46" i="13"/>
  <c r="AP46" i="13"/>
  <c r="BF46" i="13"/>
  <c r="AE46" i="13"/>
  <c r="AG46" i="13"/>
  <c r="BE46" i="13"/>
  <c r="AY46" i="13"/>
  <c r="BA46" i="13"/>
  <c r="AO46" i="13"/>
  <c r="AU46" i="13"/>
  <c r="AC46" i="13"/>
  <c r="AQ46" i="13"/>
  <c r="Z46" i="13"/>
  <c r="AB46" i="13"/>
  <c r="AH46" i="13"/>
  <c r="AM46" i="13"/>
  <c r="AT46" i="13"/>
  <c r="AL46" i="13"/>
  <c r="BG46" i="13"/>
  <c r="AJ46" i="13"/>
  <c r="AV46" i="13"/>
  <c r="AR46" i="13"/>
  <c r="AK46" i="13"/>
  <c r="BQ29" i="13"/>
  <c r="BN29" i="13"/>
  <c r="BM29" i="13"/>
  <c r="CB29" i="13"/>
  <c r="BR29" i="13"/>
  <c r="CE29" i="13"/>
  <c r="BY29" i="13"/>
  <c r="BX29" i="13"/>
  <c r="BO29" i="13"/>
  <c r="BJ29" i="13"/>
  <c r="BP29" i="13"/>
  <c r="BL29" i="13"/>
  <c r="BV29" i="13"/>
  <c r="BK29" i="13"/>
  <c r="BI29" i="13"/>
  <c r="BT29" i="13"/>
  <c r="BZ29" i="13"/>
  <c r="CC29" i="13"/>
  <c r="BW29" i="13"/>
  <c r="CF29" i="13"/>
  <c r="BS29" i="13"/>
  <c r="CG29" i="13"/>
  <c r="CA29" i="13"/>
  <c r="BU29" i="13"/>
  <c r="CD29" i="13"/>
  <c r="AT4" i="13"/>
  <c r="AS4" i="13"/>
  <c r="BD4" i="13"/>
  <c r="BU4" i="13"/>
  <c r="AU4" i="13"/>
  <c r="BQ4" i="13"/>
  <c r="BL4" i="13"/>
  <c r="BB4" i="13"/>
  <c r="BS4" i="13"/>
  <c r="BC4" i="13"/>
  <c r="BE4" i="13"/>
  <c r="BR4" i="13"/>
  <c r="AW4" i="13"/>
  <c r="BO4" i="13"/>
  <c r="BV4" i="13"/>
  <c r="AZ4" i="13"/>
  <c r="BH4" i="13"/>
  <c r="BN4" i="13"/>
  <c r="BT4" i="13"/>
  <c r="AV4" i="13"/>
  <c r="BG4" i="13"/>
  <c r="BM4" i="13"/>
  <c r="BP4" i="13"/>
  <c r="BK4" i="13"/>
  <c r="BJ4" i="13"/>
  <c r="AX4" i="13"/>
  <c r="BI4" i="13"/>
  <c r="BA4" i="13"/>
  <c r="BF4" i="13"/>
  <c r="AY4" i="13"/>
  <c r="F6" i="13"/>
  <c r="F62" i="13"/>
  <c r="U6" i="13"/>
  <c r="U62" i="13"/>
  <c r="R6" i="13"/>
  <c r="R62" i="13"/>
  <c r="E6" i="13"/>
  <c r="AJ6" i="13"/>
  <c r="AG6" i="13"/>
  <c r="K6" i="13"/>
  <c r="K62" i="13"/>
  <c r="I6" i="13"/>
  <c r="I62" i="13"/>
  <c r="AA6" i="13"/>
  <c r="AP6" i="13"/>
  <c r="H6" i="13"/>
  <c r="H62" i="13"/>
  <c r="AK6" i="13"/>
  <c r="AO6" i="13"/>
  <c r="T6" i="13"/>
  <c r="T62" i="13"/>
  <c r="AQ6" i="13"/>
  <c r="AI6" i="13"/>
  <c r="AR6" i="13"/>
  <c r="W6" i="13"/>
  <c r="W62" i="13"/>
  <c r="AC6" i="13"/>
  <c r="AL6" i="13"/>
  <c r="AF6" i="13"/>
  <c r="G6" i="13"/>
  <c r="G62" i="13"/>
  <c r="M6" i="13"/>
  <c r="M62" i="13"/>
  <c r="J6" i="13"/>
  <c r="J62" i="13"/>
  <c r="AN6" i="13"/>
  <c r="O6" i="13"/>
  <c r="O62" i="13"/>
  <c r="P6" i="13"/>
  <c r="P62" i="13"/>
  <c r="V6" i="13"/>
  <c r="V62" i="13"/>
  <c r="AM6" i="13"/>
  <c r="AH6" i="13"/>
  <c r="X6" i="13"/>
  <c r="X62" i="13"/>
  <c r="N6" i="13"/>
  <c r="N62" i="13"/>
  <c r="AE6" i="13"/>
  <c r="Z6" i="13"/>
  <c r="AB6" i="13"/>
  <c r="L6" i="13"/>
  <c r="L62" i="13"/>
  <c r="Q6" i="13"/>
  <c r="Q62" i="13"/>
  <c r="AD6" i="13"/>
  <c r="Y6" i="13"/>
  <c r="Y62" i="13"/>
  <c r="S6" i="13"/>
  <c r="S62" i="13"/>
  <c r="W32" i="13"/>
  <c r="P32" i="13"/>
  <c r="AA32" i="13"/>
  <c r="AZ32" i="13"/>
  <c r="BH32" i="13"/>
  <c r="G32" i="13"/>
  <c r="Z32" i="13"/>
  <c r="AV32" i="13"/>
  <c r="I32" i="13"/>
  <c r="AH32" i="13"/>
  <c r="AL32" i="13"/>
  <c r="AR32" i="13"/>
  <c r="O32" i="13"/>
  <c r="AO32" i="13"/>
  <c r="AW32" i="13"/>
  <c r="AN32" i="13"/>
  <c r="AE32" i="13"/>
  <c r="J32" i="13"/>
  <c r="AQ32" i="13"/>
  <c r="BB32" i="13"/>
  <c r="AT32" i="13"/>
  <c r="K32" i="13"/>
  <c r="Q32" i="13"/>
  <c r="AB32" i="13"/>
  <c r="L32" i="13"/>
  <c r="AI32" i="13"/>
  <c r="V32" i="13"/>
  <c r="BC32" i="13"/>
  <c r="AP32" i="13"/>
  <c r="AS32" i="13"/>
  <c r="X32" i="13"/>
  <c r="AD32" i="13"/>
  <c r="AU32" i="13"/>
  <c r="M32" i="13"/>
  <c r="AF32" i="13"/>
  <c r="AY32" i="13"/>
  <c r="Y32" i="13"/>
  <c r="AM32" i="13"/>
  <c r="T32" i="13"/>
  <c r="AK32" i="13"/>
  <c r="BD32" i="13"/>
  <c r="BE32" i="13"/>
  <c r="AC32" i="13"/>
  <c r="H32" i="13"/>
  <c r="BF32" i="13"/>
  <c r="AG32" i="13"/>
  <c r="AJ32" i="13"/>
  <c r="N32" i="13"/>
  <c r="S32" i="13"/>
  <c r="R32" i="13"/>
  <c r="BA32" i="13"/>
  <c r="BG32" i="13"/>
  <c r="F32" i="13"/>
  <c r="U32" i="13"/>
  <c r="AX32" i="13"/>
  <c r="CC6" i="13"/>
  <c r="CM6" i="13"/>
  <c r="CA6" i="13"/>
  <c r="CJ6" i="13"/>
  <c r="CI6" i="13"/>
  <c r="CD6" i="13"/>
  <c r="BX6" i="13"/>
  <c r="CB6" i="13"/>
  <c r="CO6" i="13"/>
  <c r="CN6" i="13"/>
  <c r="CK6" i="13"/>
  <c r="CL6" i="13"/>
  <c r="CG6" i="13"/>
  <c r="CP6" i="13"/>
  <c r="CE6" i="13"/>
  <c r="CF6" i="13"/>
  <c r="BZ6" i="13"/>
  <c r="CH6" i="13"/>
  <c r="BY6" i="13"/>
  <c r="BW6" i="13"/>
  <c r="CF10" i="13"/>
  <c r="CP10" i="13"/>
  <c r="CC10" i="13"/>
  <c r="CA10" i="13"/>
  <c r="BY10" i="13"/>
  <c r="BX10" i="13"/>
  <c r="CD10" i="13"/>
  <c r="CL10" i="13"/>
  <c r="BZ10" i="13"/>
  <c r="CN10" i="13"/>
  <c r="BW10" i="13"/>
  <c r="CB10" i="13"/>
  <c r="CE10" i="13"/>
  <c r="CJ10" i="13"/>
  <c r="CO10" i="13"/>
  <c r="CH10" i="13"/>
  <c r="CM10" i="13"/>
  <c r="CG10" i="13"/>
  <c r="CI10" i="13"/>
  <c r="CK10" i="13"/>
  <c r="BO8" i="13"/>
  <c r="AZ8" i="13"/>
  <c r="BU8" i="13"/>
  <c r="BC8" i="13"/>
  <c r="BE8" i="13"/>
  <c r="BB8" i="13"/>
  <c r="BG8" i="13"/>
  <c r="BJ8" i="13"/>
  <c r="AS8" i="13"/>
  <c r="BL8" i="13"/>
  <c r="BP8" i="13"/>
  <c r="AV8" i="13"/>
  <c r="BH8" i="13"/>
  <c r="AT8" i="13"/>
  <c r="AW8" i="13"/>
  <c r="AX8" i="13"/>
  <c r="BT8" i="13"/>
  <c r="AY8" i="13"/>
  <c r="BA8" i="13"/>
  <c r="BD8" i="13"/>
  <c r="BR8" i="13"/>
  <c r="BQ8" i="13"/>
  <c r="BF8" i="13"/>
  <c r="BS8" i="13"/>
  <c r="BN8" i="13"/>
  <c r="AU8" i="13"/>
  <c r="BI8" i="13"/>
  <c r="BM8" i="13"/>
  <c r="BV8" i="13"/>
  <c r="BK8" i="13"/>
  <c r="CA33" i="13"/>
  <c r="BN33" i="13"/>
  <c r="AE50" i="13"/>
  <c r="AX50" i="13"/>
  <c r="AW50" i="13"/>
  <c r="AF50" i="13"/>
  <c r="AS50" i="13"/>
  <c r="CC33" i="13"/>
  <c r="BP33" i="13"/>
  <c r="AZ50" i="13"/>
  <c r="BD50" i="13"/>
  <c r="BJ33" i="13"/>
  <c r="BO33" i="13"/>
  <c r="BL33" i="13"/>
  <c r="BY33" i="13"/>
  <c r="CG33" i="13"/>
  <c r="AN50" i="13"/>
  <c r="BA50" i="13"/>
  <c r="AI50" i="13"/>
  <c r="AL50" i="13"/>
  <c r="BU33" i="13"/>
  <c r="BS33" i="13"/>
  <c r="CF33" i="13"/>
  <c r="AJ50" i="13"/>
  <c r="AA50" i="13"/>
  <c r="AH50" i="13"/>
  <c r="AR50" i="13"/>
  <c r="AY50" i="13"/>
  <c r="Z50" i="13"/>
  <c r="BV33" i="13"/>
  <c r="BF50" i="13"/>
  <c r="AQ50" i="13"/>
  <c r="AM50" i="13"/>
  <c r="BE50" i="13"/>
  <c r="AB50" i="13"/>
  <c r="AO50" i="13"/>
  <c r="BB50" i="13"/>
  <c r="AC50" i="13"/>
  <c r="AU50" i="13"/>
  <c r="CD33" i="13"/>
  <c r="CB33" i="13"/>
  <c r="BT33" i="13"/>
  <c r="BW33" i="13"/>
  <c r="BZ33" i="13"/>
  <c r="BX33" i="13"/>
  <c r="BR33" i="13"/>
  <c r="CE33" i="13"/>
  <c r="BG50" i="13"/>
  <c r="AP50" i="13"/>
  <c r="AK50" i="13"/>
  <c r="AV50" i="13"/>
  <c r="BI33" i="13"/>
  <c r="AG50" i="13"/>
  <c r="BC50" i="13"/>
  <c r="AT50" i="13"/>
  <c r="BH50" i="13"/>
  <c r="BQ33" i="13"/>
  <c r="BK33" i="13"/>
  <c r="BM33" i="13"/>
  <c r="AC53" i="13"/>
  <c r="BB53" i="13"/>
  <c r="CG36" i="13"/>
  <c r="AW53" i="13"/>
  <c r="AP53" i="13"/>
  <c r="BN36" i="13"/>
  <c r="AN53" i="13"/>
  <c r="BH53" i="13"/>
  <c r="BV36" i="13"/>
  <c r="BD53" i="13"/>
  <c r="AV53" i="13"/>
  <c r="AO53" i="13"/>
  <c r="BE53" i="13"/>
  <c r="AU53" i="13"/>
  <c r="BI36" i="13"/>
  <c r="AM53" i="13"/>
  <c r="BA53" i="13"/>
  <c r="AR53" i="13"/>
  <c r="CD36" i="13"/>
  <c r="AK53" i="13"/>
  <c r="BS36" i="13"/>
  <c r="AE53" i="13"/>
  <c r="BJ36" i="13"/>
  <c r="AY53" i="13"/>
  <c r="AH53" i="13"/>
  <c r="AL53" i="13"/>
  <c r="AF53" i="13"/>
  <c r="BC53" i="13"/>
  <c r="AQ53" i="13"/>
  <c r="AI53" i="13"/>
  <c r="Z53" i="13"/>
  <c r="BF53" i="13"/>
  <c r="AB53" i="13"/>
  <c r="BR36" i="13"/>
  <c r="AG53" i="13"/>
  <c r="AJ53" i="13"/>
  <c r="BL36" i="13"/>
  <c r="BZ36" i="13"/>
  <c r="CF36" i="13"/>
  <c r="BP36" i="13"/>
  <c r="AS53" i="13"/>
  <c r="BK36" i="13"/>
  <c r="BW36" i="13"/>
  <c r="BY36" i="13"/>
  <c r="AZ53" i="13"/>
  <c r="AT53" i="13"/>
  <c r="AA53" i="13"/>
  <c r="BO36" i="13"/>
  <c r="BX36" i="13"/>
  <c r="CE36" i="13"/>
  <c r="BM36" i="13"/>
  <c r="CA36" i="13"/>
  <c r="CC36" i="13"/>
  <c r="BQ36" i="13"/>
  <c r="BT36" i="13"/>
  <c r="CB36" i="13"/>
  <c r="BU36" i="13"/>
  <c r="BG53" i="13"/>
  <c r="AX53" i="13"/>
  <c r="AY5" i="13"/>
  <c r="BU5" i="13"/>
  <c r="AZ5" i="13"/>
  <c r="AT5" i="13"/>
  <c r="BO5" i="13"/>
  <c r="BV5" i="13"/>
  <c r="BD5" i="13"/>
  <c r="BT5" i="13"/>
  <c r="BG5" i="13"/>
  <c r="BH5" i="13"/>
  <c r="BB5" i="13"/>
  <c r="AX5" i="13"/>
  <c r="AW5" i="13"/>
  <c r="BK5" i="13"/>
  <c r="BQ5" i="13"/>
  <c r="AU5" i="13"/>
  <c r="BR5" i="13"/>
  <c r="BJ5" i="13"/>
  <c r="AS5" i="13"/>
  <c r="BA5" i="13"/>
  <c r="BM5" i="13"/>
  <c r="BI5" i="13"/>
  <c r="BN5" i="13"/>
  <c r="AV5" i="13"/>
  <c r="BF5" i="13"/>
  <c r="BC5" i="13"/>
  <c r="BL5" i="13"/>
  <c r="BS5" i="13"/>
  <c r="BP5" i="13"/>
  <c r="BE5" i="13"/>
  <c r="B3" i="13"/>
  <c r="G29" i="13"/>
  <c r="X29" i="13"/>
  <c r="AX29" i="13"/>
  <c r="AB29" i="13"/>
  <c r="AD29" i="13"/>
  <c r="BG29" i="13"/>
  <c r="AP29" i="13"/>
  <c r="AY63" i="13"/>
  <c r="AO63" i="13"/>
  <c r="AC63" i="13"/>
  <c r="J29" i="13"/>
  <c r="U29" i="13"/>
  <c r="V29" i="13"/>
  <c r="BB29" i="13"/>
  <c r="AJ29" i="13"/>
  <c r="BC29" i="13"/>
  <c r="BE29" i="13"/>
  <c r="L29" i="13"/>
  <c r="T29" i="13"/>
  <c r="AC29" i="13"/>
  <c r="AI29" i="13"/>
  <c r="BA29" i="13"/>
  <c r="AZ29" i="13"/>
  <c r="H29" i="13"/>
  <c r="N29" i="13"/>
  <c r="I29" i="13"/>
  <c r="AV29" i="13"/>
  <c r="AN29" i="13"/>
  <c r="AO29" i="13"/>
  <c r="AG29" i="13"/>
  <c r="AZ63" i="13"/>
  <c r="AD63" i="13"/>
  <c r="AT63" i="13"/>
  <c r="AL63" i="13"/>
  <c r="BG63" i="13"/>
  <c r="AJ63" i="13"/>
  <c r="AV63" i="13"/>
  <c r="AR63" i="13"/>
  <c r="AK63" i="13"/>
  <c r="AW63" i="13"/>
  <c r="AX63" i="13"/>
  <c r="BC63" i="13"/>
  <c r="AN63" i="13"/>
  <c r="BD63" i="13"/>
  <c r="P29" i="13"/>
  <c r="O29" i="13"/>
  <c r="S29" i="13"/>
  <c r="AF29" i="13"/>
  <c r="AU29" i="13"/>
  <c r="AL29" i="13"/>
  <c r="BH29" i="13"/>
  <c r="AA63" i="13"/>
  <c r="BB63" i="13"/>
  <c r="F29" i="13"/>
  <c r="R29" i="13"/>
  <c r="AS29" i="13"/>
  <c r="Z29" i="13"/>
  <c r="AM29" i="13"/>
  <c r="AK29" i="13"/>
  <c r="AE29" i="13"/>
  <c r="AI63" i="13"/>
  <c r="W29" i="13"/>
  <c r="Y29" i="13"/>
  <c r="K29" i="13"/>
  <c r="BD29" i="13"/>
  <c r="AW29" i="13"/>
  <c r="AA29" i="13"/>
  <c r="AT29" i="13"/>
  <c r="BH63" i="13"/>
  <c r="AS63" i="13"/>
  <c r="AF63" i="13"/>
  <c r="AP63" i="13"/>
  <c r="BF63" i="13"/>
  <c r="AE63" i="13"/>
  <c r="AG63" i="13"/>
  <c r="BE63" i="13"/>
  <c r="M29" i="13"/>
  <c r="Q29" i="13"/>
  <c r="AQ29" i="13"/>
  <c r="BF29" i="13"/>
  <c r="AH29" i="13"/>
  <c r="AR29" i="13"/>
  <c r="AY29" i="13"/>
  <c r="BA63" i="13"/>
  <c r="AU63" i="13"/>
  <c r="AQ63" i="13"/>
  <c r="AB63" i="13"/>
  <c r="AH63" i="13"/>
  <c r="AM63" i="13"/>
  <c r="Z63" i="13"/>
  <c r="CS44" i="13"/>
  <c r="CN44" i="13"/>
  <c r="BX44" i="13"/>
  <c r="BX61" i="13"/>
  <c r="CD44" i="13"/>
  <c r="CD61" i="13"/>
  <c r="CM44" i="13"/>
  <c r="CT44" i="13"/>
  <c r="BY44" i="13"/>
  <c r="BY61" i="13"/>
  <c r="BO44" i="13"/>
  <c r="BO61" i="13"/>
  <c r="CG44" i="13"/>
  <c r="CG61" i="13"/>
  <c r="CI44" i="13"/>
  <c r="BK44" i="13"/>
  <c r="BK61" i="13"/>
  <c r="CN61" i="13"/>
  <c r="BU61" i="13"/>
  <c r="CK44" i="13"/>
  <c r="BR44" i="13"/>
  <c r="BR61" i="13"/>
  <c r="BV44" i="13"/>
  <c r="BV61" i="13"/>
  <c r="CC44" i="13"/>
  <c r="CC61" i="13"/>
  <c r="CK27" i="13"/>
  <c r="CI61" i="13"/>
  <c r="CR27" i="13"/>
  <c r="BI44" i="13"/>
  <c r="CJ27" i="13"/>
  <c r="CN27" i="13"/>
  <c r="CK61" i="13"/>
  <c r="CJ44" i="13"/>
  <c r="CO44" i="13"/>
  <c r="CP44" i="13"/>
  <c r="CB44" i="13"/>
  <c r="CB61" i="13"/>
  <c r="CE44" i="13"/>
  <c r="CE61" i="13"/>
  <c r="CO27" i="13"/>
  <c r="CQ44" i="13"/>
  <c r="CQ61" i="13"/>
  <c r="CQ27" i="13"/>
  <c r="BL44" i="13"/>
  <c r="BL61" i="13"/>
  <c r="CP27" i="13"/>
  <c r="BN44" i="13"/>
  <c r="BN61" i="13"/>
  <c r="CF44" i="13"/>
  <c r="CF61" i="13"/>
  <c r="CM27" i="13"/>
  <c r="CL27" i="13"/>
  <c r="BT44" i="13"/>
  <c r="BT61" i="13"/>
  <c r="CV44" i="13"/>
  <c r="BM44" i="13"/>
  <c r="BM61" i="13"/>
  <c r="CU27" i="13"/>
  <c r="CH27" i="13"/>
  <c r="CI27" i="13"/>
  <c r="BW44" i="13"/>
  <c r="BW61" i="13"/>
  <c r="CV27" i="13"/>
  <c r="CM61" i="13"/>
  <c r="CT61" i="13"/>
  <c r="BS44" i="13"/>
  <c r="BS61" i="13"/>
  <c r="CL44" i="13"/>
  <c r="CL61" i="13"/>
  <c r="BP44" i="13"/>
  <c r="BP61" i="13"/>
  <c r="CU44" i="13"/>
  <c r="CU61" i="13"/>
  <c r="CA44" i="13"/>
  <c r="CA61" i="13"/>
  <c r="CT27" i="13"/>
  <c r="CR61" i="13"/>
  <c r="CH44" i="13"/>
  <c r="CS61" i="13"/>
  <c r="CJ61" i="13"/>
  <c r="CO61" i="13"/>
  <c r="CP61" i="13"/>
  <c r="CV61" i="13"/>
  <c r="BQ44" i="13"/>
  <c r="BQ61" i="13"/>
  <c r="BJ44" i="13"/>
  <c r="BJ61" i="13"/>
  <c r="BZ44" i="13"/>
  <c r="BZ61" i="13"/>
  <c r="CS27" i="13"/>
  <c r="CH61" i="13"/>
  <c r="BX9" i="13"/>
  <c r="CH9" i="13"/>
  <c r="CO9" i="13"/>
  <c r="CA9" i="13"/>
  <c r="CE9" i="13"/>
  <c r="CM9" i="13"/>
  <c r="CB9" i="13"/>
  <c r="CP9" i="13"/>
  <c r="CD9" i="13"/>
  <c r="CL9" i="13"/>
  <c r="BW9" i="13"/>
  <c r="CF9" i="13"/>
  <c r="CG9" i="13"/>
  <c r="CN9" i="13"/>
  <c r="CJ9" i="13"/>
  <c r="BZ9" i="13"/>
  <c r="CC9" i="13"/>
  <c r="CI9" i="13"/>
  <c r="BY9" i="13"/>
  <c r="CK9" i="13"/>
  <c r="BX12" i="13"/>
  <c r="CN12" i="13"/>
  <c r="CJ12" i="13"/>
  <c r="CK12" i="13"/>
  <c r="CL12" i="13"/>
  <c r="CF12" i="13"/>
  <c r="CO12" i="13"/>
  <c r="BW12" i="13"/>
  <c r="CA12" i="13"/>
  <c r="CM12" i="13"/>
  <c r="CD12" i="13"/>
  <c r="BZ12" i="13"/>
  <c r="CC12" i="13"/>
  <c r="CE12" i="13"/>
  <c r="CG12" i="13"/>
  <c r="CI12" i="13"/>
  <c r="CH12" i="13"/>
  <c r="CP12" i="13"/>
  <c r="CB12" i="13"/>
  <c r="BY12" i="13"/>
  <c r="CV71" i="13"/>
  <c r="CM71" i="13"/>
  <c r="CE54" i="13"/>
  <c r="CB54" i="13"/>
  <c r="CI37" i="13"/>
  <c r="CS37" i="13"/>
  <c r="CH37" i="13"/>
  <c r="CU37" i="13"/>
  <c r="CO37" i="13"/>
  <c r="CN37" i="13"/>
  <c r="BV54" i="13"/>
  <c r="BR54" i="13"/>
  <c r="CG54" i="13"/>
  <c r="BM54" i="13"/>
  <c r="BO54" i="13"/>
  <c r="BK54" i="13"/>
  <c r="BQ54" i="13"/>
  <c r="BI54" i="13"/>
  <c r="CF54" i="13"/>
  <c r="BT54" i="13"/>
  <c r="CI71" i="13"/>
  <c r="CP71" i="13"/>
  <c r="CO71" i="13"/>
  <c r="CN71" i="13"/>
  <c r="CT71" i="13"/>
  <c r="CQ71" i="13"/>
  <c r="CR71" i="13"/>
  <c r="CT37" i="13"/>
  <c r="CJ37" i="13"/>
  <c r="BS54" i="13"/>
  <c r="CR37" i="13"/>
  <c r="CM37" i="13"/>
  <c r="BY54" i="13"/>
  <c r="BW54" i="13"/>
  <c r="BX54" i="13"/>
  <c r="BP54" i="13"/>
  <c r="CL71" i="13"/>
  <c r="BJ54" i="13"/>
  <c r="CD54" i="13"/>
  <c r="BL54" i="13"/>
  <c r="BN54" i="13"/>
  <c r="CS71" i="13"/>
  <c r="CK71" i="13"/>
  <c r="CA54" i="13"/>
  <c r="CV37" i="13"/>
  <c r="CC54" i="13"/>
  <c r="CJ71" i="13"/>
  <c r="CL37" i="13"/>
  <c r="CK37" i="13"/>
  <c r="BZ54" i="13"/>
  <c r="CP37" i="13"/>
  <c r="CH71" i="13"/>
  <c r="CQ37" i="13"/>
  <c r="CU71" i="13"/>
  <c r="CO50" i="13"/>
  <c r="CL50" i="13"/>
  <c r="CY33" i="13"/>
  <c r="CI50" i="13"/>
  <c r="CM50" i="13"/>
  <c r="CT50" i="13"/>
  <c r="CW67" i="13"/>
  <c r="CY67" i="13"/>
  <c r="CV50" i="13"/>
  <c r="CN50" i="13"/>
  <c r="DA33" i="13"/>
  <c r="CH50" i="13"/>
  <c r="CW33" i="13"/>
  <c r="CU50" i="13"/>
  <c r="CX67" i="13"/>
  <c r="CP50" i="13"/>
  <c r="CX33" i="13"/>
  <c r="CZ33" i="13"/>
  <c r="CZ67" i="13"/>
  <c r="CS50" i="13"/>
  <c r="CQ50" i="13"/>
  <c r="CK50" i="13"/>
  <c r="CJ50" i="13"/>
  <c r="DA67" i="13"/>
  <c r="BF9" i="13"/>
  <c r="BK9" i="13"/>
  <c r="BI9" i="13"/>
  <c r="BO9" i="13"/>
  <c r="BT9" i="13"/>
  <c r="BL9" i="13"/>
  <c r="AU9" i="13"/>
  <c r="AT9" i="13"/>
  <c r="BU9" i="13"/>
  <c r="BE9" i="13"/>
  <c r="BG9" i="13"/>
  <c r="AZ9" i="13"/>
  <c r="AS9" i="13"/>
  <c r="BV9" i="13"/>
  <c r="AV9" i="13"/>
  <c r="BD9" i="13"/>
  <c r="BC9" i="13"/>
  <c r="BH9" i="13"/>
  <c r="BS9" i="13"/>
  <c r="BQ9" i="13"/>
  <c r="BM9" i="13"/>
  <c r="BA9" i="13"/>
  <c r="BN9" i="13"/>
  <c r="BP9" i="13"/>
  <c r="AW9" i="13"/>
  <c r="AY9" i="13"/>
  <c r="AX9" i="13"/>
  <c r="BR9" i="13"/>
  <c r="BJ9" i="13"/>
  <c r="BB9" i="13"/>
  <c r="BK34" i="13"/>
  <c r="BO34" i="13"/>
  <c r="BK68" i="13"/>
  <c r="CG34" i="13"/>
  <c r="AC51" i="13"/>
  <c r="AI51" i="13"/>
  <c r="AJ51" i="13"/>
  <c r="AT51" i="13"/>
  <c r="BN34" i="13"/>
  <c r="CD34" i="13"/>
  <c r="AG51" i="13"/>
  <c r="BG51" i="13"/>
  <c r="AK51" i="13"/>
  <c r="BA51" i="13"/>
  <c r="AS51" i="13"/>
  <c r="BD51" i="13"/>
  <c r="CE34" i="13"/>
  <c r="BU34" i="13"/>
  <c r="AX51" i="13"/>
  <c r="AU51" i="13"/>
  <c r="BP34" i="13"/>
  <c r="BR34" i="13"/>
  <c r="BY68" i="13"/>
  <c r="CA68" i="13"/>
  <c r="CB34" i="13"/>
  <c r="BB51" i="13"/>
  <c r="BH51" i="13"/>
  <c r="AF51" i="13"/>
  <c r="AB51" i="13"/>
  <c r="AZ51" i="13"/>
  <c r="CC34" i="13"/>
  <c r="BS34" i="13"/>
  <c r="CA34" i="13"/>
  <c r="BQ34" i="13"/>
  <c r="BI68" i="13"/>
  <c r="CF68" i="13"/>
  <c r="CF34" i="13"/>
  <c r="AQ51" i="13"/>
  <c r="AV51" i="13"/>
  <c r="AM51" i="13"/>
  <c r="AR51" i="13"/>
  <c r="BX34" i="13"/>
  <c r="BL34" i="13"/>
  <c r="BJ34" i="13"/>
  <c r="Z51" i="13"/>
  <c r="BT68" i="13"/>
  <c r="BN68" i="13"/>
  <c r="CE68" i="13"/>
  <c r="BR68" i="13"/>
  <c r="CB68" i="13"/>
  <c r="BJ68" i="13"/>
  <c r="BO68" i="13"/>
  <c r="BM68" i="13"/>
  <c r="BP68" i="13"/>
  <c r="CD68" i="13"/>
  <c r="BV34" i="13"/>
  <c r="BZ68" i="13"/>
  <c r="BM34" i="13"/>
  <c r="BE51" i="13"/>
  <c r="AW51" i="13"/>
  <c r="AH51" i="13"/>
  <c r="BF51" i="13"/>
  <c r="BW34" i="13"/>
  <c r="BT34" i="13"/>
  <c r="BZ34" i="13"/>
  <c r="BI34" i="13"/>
  <c r="AL51" i="13"/>
  <c r="AY51" i="13"/>
  <c r="AA51" i="13"/>
  <c r="AN51" i="13"/>
  <c r="AE51" i="13"/>
  <c r="AP51" i="13"/>
  <c r="BC51" i="13"/>
  <c r="BS68" i="13"/>
  <c r="BV68" i="13"/>
  <c r="BW68" i="13"/>
  <c r="CC68" i="13"/>
  <c r="BU68" i="13"/>
  <c r="CG68" i="13"/>
  <c r="BX68" i="13"/>
  <c r="BL68" i="13"/>
  <c r="BQ68" i="13"/>
  <c r="BY34" i="13"/>
  <c r="AO51" i="13"/>
  <c r="AZ54" i="13"/>
  <c r="AF54" i="13"/>
  <c r="BW37" i="13"/>
  <c r="BQ37" i="13"/>
  <c r="AY54" i="13"/>
  <c r="BO37" i="13"/>
  <c r="BY71" i="13"/>
  <c r="BW71" i="13"/>
  <c r="BX71" i="13"/>
  <c r="BL71" i="13"/>
  <c r="AT54" i="13"/>
  <c r="AX54" i="13"/>
  <c r="Z54" i="13"/>
  <c r="BC54" i="13"/>
  <c r="BN37" i="13"/>
  <c r="BJ37" i="13"/>
  <c r="BG54" i="13"/>
  <c r="BU37" i="13"/>
  <c r="CA71" i="13"/>
  <c r="AW54" i="13"/>
  <c r="BT37" i="13"/>
  <c r="CF37" i="13"/>
  <c r="BD54" i="13"/>
  <c r="AO54" i="13"/>
  <c r="AA54" i="13"/>
  <c r="BE54" i="13"/>
  <c r="BH54" i="13"/>
  <c r="BK37" i="13"/>
  <c r="BS71" i="13"/>
  <c r="CE71" i="13"/>
  <c r="BS37" i="13"/>
  <c r="AS54" i="13"/>
  <c r="CB37" i="13"/>
  <c r="CA37" i="13"/>
  <c r="BA54" i="13"/>
  <c r="BL37" i="13"/>
  <c r="AP54" i="13"/>
  <c r="BM37" i="13"/>
  <c r="BV71" i="13"/>
  <c r="BR71" i="13"/>
  <c r="CG71" i="13"/>
  <c r="BM71" i="13"/>
  <c r="BO71" i="13"/>
  <c r="BK71" i="13"/>
  <c r="BQ71" i="13"/>
  <c r="CF71" i="13"/>
  <c r="BV37" i="13"/>
  <c r="AU54" i="13"/>
  <c r="AC54" i="13"/>
  <c r="AM54" i="13"/>
  <c r="BY37" i="13"/>
  <c r="AE54" i="13"/>
  <c r="AH54" i="13"/>
  <c r="AG54" i="13"/>
  <c r="CE37" i="13"/>
  <c r="BP37" i="13"/>
  <c r="CC71" i="13"/>
  <c r="CD71" i="13"/>
  <c r="BN71" i="13"/>
  <c r="BZ37" i="13"/>
  <c r="AN54" i="13"/>
  <c r="AI54" i="13"/>
  <c r="CG37" i="13"/>
  <c r="AL54" i="13"/>
  <c r="BF54" i="13"/>
  <c r="CC37" i="13"/>
  <c r="BB54" i="13"/>
  <c r="AQ54" i="13"/>
  <c r="BX37" i="13"/>
  <c r="CD37" i="13"/>
  <c r="CB71" i="13"/>
  <c r="BP71" i="13"/>
  <c r="BZ71" i="13"/>
  <c r="BU71" i="13"/>
  <c r="BT71" i="13"/>
  <c r="AR54" i="13"/>
  <c r="AK54" i="13"/>
  <c r="BR37" i="13"/>
  <c r="AJ54" i="13"/>
  <c r="AV54" i="13"/>
  <c r="AB54" i="13"/>
  <c r="BI37" i="13"/>
  <c r="BJ71" i="13"/>
  <c r="BI71" i="13"/>
  <c r="AZ6" i="13"/>
  <c r="AS6" i="13"/>
  <c r="AX6" i="13"/>
  <c r="BU6" i="13"/>
  <c r="BN6" i="13"/>
  <c r="BP6" i="13"/>
  <c r="BH6" i="13"/>
  <c r="BI6" i="13"/>
  <c r="BO6" i="13"/>
  <c r="AV6" i="13"/>
  <c r="BJ6" i="13"/>
  <c r="AW6" i="13"/>
  <c r="AT6" i="13"/>
  <c r="BT6" i="13"/>
  <c r="BC6" i="13"/>
  <c r="BE6" i="13"/>
  <c r="AY6" i="13"/>
  <c r="BB6" i="13"/>
  <c r="BG6" i="13"/>
  <c r="BQ6" i="13"/>
  <c r="BV6" i="13"/>
  <c r="AU6" i="13"/>
  <c r="BK6" i="13"/>
  <c r="BD6" i="13"/>
  <c r="BA6" i="13"/>
  <c r="BS6" i="13"/>
  <c r="BR6" i="13"/>
  <c r="BF6" i="13"/>
  <c r="BM6" i="13"/>
  <c r="BL6" i="13"/>
  <c r="I26" i="13"/>
  <c r="V26" i="13"/>
  <c r="AD26" i="13"/>
  <c r="AT26" i="13"/>
  <c r="AG26" i="13"/>
  <c r="AI26" i="13"/>
  <c r="AP26" i="13"/>
  <c r="O26" i="13"/>
  <c r="W26" i="13"/>
  <c r="AA26" i="13"/>
  <c r="BH26" i="13"/>
  <c r="AL26" i="13"/>
  <c r="AS26" i="13"/>
  <c r="H26" i="13"/>
  <c r="G26" i="13"/>
  <c r="R26" i="13"/>
  <c r="AK26" i="13"/>
  <c r="BF26" i="13"/>
  <c r="BD26" i="13"/>
  <c r="AH26" i="13"/>
  <c r="T26" i="13"/>
  <c r="U26" i="13"/>
  <c r="Q26" i="13"/>
  <c r="AC26" i="13"/>
  <c r="AX26" i="13"/>
  <c r="BB26" i="13"/>
  <c r="AW26" i="13"/>
  <c r="X26" i="13"/>
  <c r="M26" i="13"/>
  <c r="P26" i="13"/>
  <c r="AR26" i="13"/>
  <c r="AQ26" i="13"/>
  <c r="AV26" i="13"/>
  <c r="Z26" i="13"/>
  <c r="L26" i="13"/>
  <c r="N26" i="13"/>
  <c r="F26" i="13"/>
  <c r="BC26" i="13"/>
  <c r="AE26" i="13"/>
  <c r="BA26" i="13"/>
  <c r="AY26" i="13"/>
  <c r="Y26" i="13"/>
  <c r="J26" i="13"/>
  <c r="BG26" i="13"/>
  <c r="AF26" i="13"/>
  <c r="AJ26" i="13"/>
  <c r="AM26" i="13"/>
  <c r="S26" i="13"/>
  <c r="K26" i="13"/>
  <c r="AB26" i="13"/>
  <c r="BE26" i="13"/>
  <c r="AO26" i="13"/>
  <c r="AU26" i="13"/>
  <c r="AZ26" i="13"/>
  <c r="AN26" i="13"/>
  <c r="V30" i="13"/>
  <c r="S30" i="13"/>
  <c r="M30" i="13"/>
  <c r="L30" i="13"/>
  <c r="K30" i="13"/>
  <c r="Z30" i="13"/>
  <c r="BF30" i="13"/>
  <c r="AI30" i="13"/>
  <c r="AV30" i="13"/>
  <c r="P30" i="13"/>
  <c r="Y30" i="13"/>
  <c r="I30" i="13"/>
  <c r="T30" i="13"/>
  <c r="AG30" i="13"/>
  <c r="AF30" i="13"/>
  <c r="BD30" i="13"/>
  <c r="AW30" i="13"/>
  <c r="AS30" i="13"/>
  <c r="BH30" i="13"/>
  <c r="AB30" i="13"/>
  <c r="X30" i="13"/>
  <c r="R30" i="13"/>
  <c r="H30" i="13"/>
  <c r="O30" i="13"/>
  <c r="G30" i="13"/>
  <c r="BA30" i="13"/>
  <c r="AX30" i="13"/>
  <c r="AY30" i="13"/>
  <c r="AP30" i="13"/>
  <c r="BC30" i="13"/>
  <c r="N30" i="13"/>
  <c r="U30" i="13"/>
  <c r="W30" i="13"/>
  <c r="Q30" i="13"/>
  <c r="J30" i="13"/>
  <c r="F30" i="13"/>
  <c r="AH30" i="13"/>
  <c r="AC30" i="13"/>
  <c r="AO30" i="13"/>
  <c r="AQ30" i="13"/>
  <c r="AM30" i="13"/>
  <c r="AJ30" i="13"/>
  <c r="AZ30" i="13"/>
  <c r="AA30" i="13"/>
  <c r="AN30" i="13"/>
  <c r="BB30" i="13"/>
  <c r="BG30" i="13"/>
  <c r="AK30" i="13"/>
  <c r="BE30" i="13"/>
  <c r="AT30" i="13"/>
  <c r="AE30" i="13"/>
  <c r="AR30" i="13"/>
  <c r="AD30" i="13"/>
  <c r="AL30" i="13"/>
  <c r="AU30" i="13"/>
  <c r="W11" i="13"/>
  <c r="W67" i="13"/>
  <c r="L11" i="13"/>
  <c r="L67" i="13"/>
  <c r="U11" i="13"/>
  <c r="U67" i="13"/>
  <c r="AP11" i="13"/>
  <c r="J11" i="13"/>
  <c r="J67" i="13"/>
  <c r="Y11" i="13"/>
  <c r="Y67" i="13"/>
  <c r="AJ11" i="13"/>
  <c r="S11" i="13"/>
  <c r="S67" i="13"/>
  <c r="M11" i="13"/>
  <c r="M67" i="13"/>
  <c r="AL11" i="13"/>
  <c r="T11" i="13"/>
  <c r="T67" i="13"/>
  <c r="O11" i="13"/>
  <c r="O67" i="13"/>
  <c r="AC11" i="13"/>
  <c r="AN11" i="13"/>
  <c r="AF11" i="13"/>
  <c r="I11" i="13"/>
  <c r="I67" i="13"/>
  <c r="Q11" i="13"/>
  <c r="Q67" i="13"/>
  <c r="R11" i="13"/>
  <c r="R67" i="13"/>
  <c r="Z11" i="13"/>
  <c r="AM11" i="13"/>
  <c r="AD11" i="13"/>
  <c r="AB11" i="13"/>
  <c r="AK11" i="13"/>
  <c r="AR11" i="13"/>
  <c r="AQ11" i="13"/>
  <c r="P11" i="13"/>
  <c r="P67" i="13"/>
  <c r="AO11" i="13"/>
  <c r="V11" i="13"/>
  <c r="V67" i="13"/>
  <c r="F11" i="13"/>
  <c r="F67" i="13"/>
  <c r="G11" i="13"/>
  <c r="G67" i="13"/>
  <c r="AG11" i="13"/>
  <c r="K11" i="13"/>
  <c r="K67" i="13"/>
  <c r="AH11" i="13"/>
  <c r="X11" i="13"/>
  <c r="X67" i="13"/>
  <c r="H11" i="13"/>
  <c r="H67" i="13"/>
  <c r="AA11" i="13"/>
  <c r="AI11" i="13"/>
  <c r="N11" i="13"/>
  <c r="N67" i="13"/>
  <c r="AE11" i="13"/>
  <c r="Y36" i="13"/>
  <c r="N36" i="13"/>
  <c r="R36" i="13"/>
  <c r="X36" i="13"/>
  <c r="S36" i="13"/>
  <c r="T36" i="13"/>
  <c r="K36" i="13"/>
  <c r="V36" i="13"/>
  <c r="H36" i="13"/>
  <c r="U36" i="13"/>
  <c r="P36" i="13"/>
  <c r="W36" i="13"/>
  <c r="M36" i="13"/>
  <c r="O36" i="13"/>
  <c r="I36" i="13"/>
  <c r="F36" i="13"/>
  <c r="Q36" i="13"/>
  <c r="L36" i="13"/>
  <c r="G36" i="13"/>
  <c r="J36" i="13"/>
  <c r="AY70" i="13"/>
  <c r="AH70" i="13"/>
  <c r="AL70" i="13"/>
  <c r="AF70" i="13"/>
  <c r="BC70" i="13"/>
  <c r="AQ70" i="13"/>
  <c r="AI70" i="13"/>
  <c r="BF70" i="13"/>
  <c r="AB70" i="13"/>
  <c r="BE36" i="13"/>
  <c r="AI36" i="13"/>
  <c r="BA36" i="13"/>
  <c r="AL36" i="13"/>
  <c r="AD36" i="13"/>
  <c r="BF36" i="13"/>
  <c r="AT36" i="13"/>
  <c r="AR36" i="13"/>
  <c r="AM36" i="13"/>
  <c r="AG70" i="13"/>
  <c r="AD70" i="13"/>
  <c r="AJ70" i="13"/>
  <c r="AS70" i="13"/>
  <c r="AZ70" i="13"/>
  <c r="AT70" i="13"/>
  <c r="AA70" i="13"/>
  <c r="AC36" i="13"/>
  <c r="BC36" i="13"/>
  <c r="AA36" i="13"/>
  <c r="Z36" i="13"/>
  <c r="AB36" i="13"/>
  <c r="BG70" i="13"/>
  <c r="AX70" i="13"/>
  <c r="BB36" i="13"/>
  <c r="AF36" i="13"/>
  <c r="AY36" i="13"/>
  <c r="AW36" i="13"/>
  <c r="AX36" i="13"/>
  <c r="Z14" i="13"/>
  <c r="Z70" i="13"/>
  <c r="AC70" i="13"/>
  <c r="BB70" i="13"/>
  <c r="AW70" i="13"/>
  <c r="AP70" i="13"/>
  <c r="AN70" i="13"/>
  <c r="BH70" i="13"/>
  <c r="BD70" i="13"/>
  <c r="AV70" i="13"/>
  <c r="AO70" i="13"/>
  <c r="BE70" i="13"/>
  <c r="AU70" i="13"/>
  <c r="AO36" i="13"/>
  <c r="BD36" i="13"/>
  <c r="BG36" i="13"/>
  <c r="AZ36" i="13"/>
  <c r="AE36" i="13"/>
  <c r="BH36" i="13"/>
  <c r="AJ36" i="13"/>
  <c r="AP36" i="13"/>
  <c r="AM70" i="13"/>
  <c r="BA70" i="13"/>
  <c r="AR70" i="13"/>
  <c r="AK70" i="13"/>
  <c r="AV36" i="13"/>
  <c r="AK36" i="13"/>
  <c r="AU36" i="13"/>
  <c r="AH36" i="13"/>
  <c r="AS36" i="13"/>
  <c r="AE70" i="13"/>
  <c r="AN36" i="13"/>
  <c r="AQ36" i="13"/>
  <c r="AG36" i="13"/>
  <c r="CN4" i="13"/>
  <c r="BZ4" i="13"/>
  <c r="CC4" i="13"/>
  <c r="CL4" i="13"/>
  <c r="CO4" i="13"/>
  <c r="CE4" i="13"/>
  <c r="CJ4" i="13"/>
  <c r="CD4" i="13"/>
  <c r="BY4" i="13"/>
  <c r="CA4" i="13"/>
  <c r="CF4" i="13"/>
  <c r="CM4" i="13"/>
  <c r="BX4" i="13"/>
  <c r="CB4" i="13"/>
  <c r="BW4" i="13"/>
  <c r="CH4" i="13"/>
  <c r="CG4" i="13"/>
  <c r="CI4" i="13"/>
  <c r="CP4" i="13"/>
  <c r="CK4" i="13"/>
  <c r="CI8" i="13"/>
  <c r="BX8" i="13"/>
  <c r="BY8" i="13"/>
  <c r="BW8" i="13"/>
  <c r="CJ8" i="13"/>
  <c r="CF8" i="13"/>
  <c r="CL8" i="13"/>
  <c r="CP8" i="13"/>
  <c r="CH8" i="13"/>
  <c r="CE8" i="13"/>
  <c r="CB8" i="13"/>
  <c r="CD8" i="13"/>
  <c r="CK8" i="13"/>
  <c r="CO8" i="13"/>
  <c r="CN8" i="13"/>
  <c r="CA8" i="13"/>
  <c r="CM8" i="13"/>
  <c r="CG8" i="13"/>
  <c r="CC8" i="13"/>
  <c r="BZ8" i="13"/>
  <c r="CT33" i="13"/>
  <c r="CL33" i="13"/>
  <c r="CD50" i="13"/>
  <c r="CD67" i="13"/>
  <c r="BQ50" i="13"/>
  <c r="BQ67" i="13"/>
  <c r="BS50" i="13"/>
  <c r="BS67" i="13"/>
  <c r="CC50" i="13"/>
  <c r="CC67" i="13"/>
  <c r="BY50" i="13"/>
  <c r="BY67" i="13"/>
  <c r="CH33" i="13"/>
  <c r="CG50" i="13"/>
  <c r="CG67" i="13"/>
  <c r="BO50" i="13"/>
  <c r="BO67" i="13"/>
  <c r="BV50" i="13"/>
  <c r="BV67" i="13"/>
  <c r="BU67" i="13"/>
  <c r="CB50" i="13"/>
  <c r="CB67" i="13"/>
  <c r="BJ50" i="13"/>
  <c r="BJ67" i="13"/>
  <c r="BN50" i="13"/>
  <c r="BN67" i="13"/>
  <c r="CV67" i="13"/>
  <c r="CN67" i="13"/>
  <c r="CR33" i="13"/>
  <c r="BT50" i="13"/>
  <c r="BT67" i="13"/>
  <c r="CE50" i="13"/>
  <c r="CE67" i="13"/>
  <c r="BI50" i="13"/>
  <c r="CK33" i="13"/>
  <c r="CA50" i="13"/>
  <c r="CA67" i="13"/>
  <c r="BM50" i="13"/>
  <c r="BM67" i="13"/>
  <c r="CO33" i="13"/>
  <c r="BR50" i="13"/>
  <c r="BR67" i="13"/>
  <c r="BW50" i="13"/>
  <c r="BW67" i="13"/>
  <c r="CV33" i="13"/>
  <c r="CJ33" i="13"/>
  <c r="BP50" i="13"/>
  <c r="BP67" i="13"/>
  <c r="BZ50" i="13"/>
  <c r="BZ67" i="13"/>
  <c r="CP33" i="13"/>
  <c r="BL50" i="13"/>
  <c r="BL67" i="13"/>
  <c r="CT67" i="13"/>
  <c r="CS67" i="13"/>
  <c r="CS33" i="13"/>
  <c r="CN33" i="13"/>
  <c r="CQ67" i="13"/>
  <c r="CK67" i="13"/>
  <c r="CJ67" i="13"/>
  <c r="CQ33" i="13"/>
  <c r="CI33" i="13"/>
  <c r="BX50" i="13"/>
  <c r="BX67" i="13"/>
  <c r="BK50" i="13"/>
  <c r="BK67" i="13"/>
  <c r="CO67" i="13"/>
  <c r="CU67" i="13"/>
  <c r="CL67" i="13"/>
  <c r="CP67" i="13"/>
  <c r="CM67" i="13"/>
  <c r="CU33" i="13"/>
  <c r="CM33" i="13"/>
  <c r="CF50" i="13"/>
  <c r="CF67" i="13"/>
  <c r="CI67" i="13"/>
  <c r="CR67" i="13"/>
  <c r="CH67" i="13"/>
  <c r="CE14" i="13"/>
  <c r="CC14" i="13"/>
  <c r="CA14" i="13"/>
  <c r="CG14" i="13"/>
  <c r="CJ14" i="13"/>
  <c r="BX14" i="13"/>
  <c r="BW14" i="13"/>
  <c r="CK14" i="13"/>
  <c r="CM14" i="13"/>
  <c r="CB14" i="13"/>
  <c r="CP14" i="13"/>
  <c r="CI14" i="13"/>
  <c r="CH14" i="13"/>
  <c r="BY14" i="13"/>
  <c r="CN14" i="13"/>
  <c r="CO14" i="13"/>
  <c r="CL14" i="13"/>
  <c r="CF14" i="13"/>
  <c r="CD14" i="13"/>
  <c r="BZ14" i="13"/>
  <c r="C3" i="13"/>
  <c r="BU10" i="13"/>
  <c r="BS10" i="13"/>
  <c r="BD10" i="13"/>
  <c r="AY10" i="13"/>
  <c r="BE10" i="13"/>
  <c r="BC10" i="13"/>
  <c r="AS10" i="13"/>
  <c r="BA10" i="13"/>
  <c r="BJ10" i="13"/>
  <c r="BF10" i="13"/>
  <c r="AT10" i="13"/>
  <c r="BG10" i="13"/>
  <c r="BQ10" i="13"/>
  <c r="BL10" i="13"/>
  <c r="BM10" i="13"/>
  <c r="AW10" i="13"/>
  <c r="BI10" i="13"/>
  <c r="BP10" i="13"/>
  <c r="BH10" i="13"/>
  <c r="BN10" i="13"/>
  <c r="BO10" i="13"/>
  <c r="BT10" i="13"/>
  <c r="AX10" i="13"/>
  <c r="BV10" i="13"/>
  <c r="BB10" i="13"/>
  <c r="BR10" i="13"/>
  <c r="AV10" i="13"/>
  <c r="AZ10" i="13"/>
  <c r="BK10" i="13"/>
  <c r="AU10" i="13"/>
  <c r="C13" i="13"/>
  <c r="R5" i="13"/>
  <c r="R61" i="13"/>
  <c r="AR5" i="13"/>
  <c r="M5" i="13"/>
  <c r="M61" i="13"/>
  <c r="F5" i="13"/>
  <c r="F61" i="13"/>
  <c r="I5" i="13"/>
  <c r="I61" i="13"/>
  <c r="AG5" i="13"/>
  <c r="AA5" i="13"/>
  <c r="AI5" i="13"/>
  <c r="AB5" i="13"/>
  <c r="W5" i="13"/>
  <c r="W61" i="13"/>
  <c r="AP5" i="13"/>
  <c r="V5" i="13"/>
  <c r="V61" i="13"/>
  <c r="P5" i="13"/>
  <c r="P61" i="13"/>
  <c r="J5" i="13"/>
  <c r="J61" i="13"/>
  <c r="Q5" i="13"/>
  <c r="Q61" i="13"/>
  <c r="Y5" i="13"/>
  <c r="Y61" i="13"/>
  <c r="L5" i="13"/>
  <c r="L61" i="13"/>
  <c r="G5" i="13"/>
  <c r="G61" i="13"/>
  <c r="AO5" i="13"/>
  <c r="AL5" i="13"/>
  <c r="U5" i="13"/>
  <c r="U61" i="13"/>
  <c r="AN5" i="13"/>
  <c r="AF5" i="13"/>
  <c r="AC5" i="13"/>
  <c r="N5" i="13"/>
  <c r="N61" i="13"/>
  <c r="AK5" i="13"/>
  <c r="H5" i="13"/>
  <c r="H61" i="13"/>
  <c r="X5" i="13"/>
  <c r="X61" i="13"/>
  <c r="T5" i="13"/>
  <c r="T61" i="13"/>
  <c r="AH5" i="13"/>
  <c r="Z5" i="13"/>
  <c r="AJ5" i="13"/>
  <c r="AD5" i="13"/>
  <c r="AQ5" i="13"/>
  <c r="O5" i="13"/>
  <c r="O61" i="13"/>
  <c r="AM5" i="13"/>
  <c r="S5" i="13"/>
  <c r="S61" i="13"/>
  <c r="K5" i="13"/>
  <c r="K61" i="13"/>
  <c r="AE5" i="13"/>
  <c r="H31" i="13"/>
  <c r="Q31" i="13"/>
  <c r="U31" i="13"/>
  <c r="Y31" i="13"/>
  <c r="T31" i="13"/>
  <c r="AT31" i="13"/>
  <c r="AW31" i="13"/>
  <c r="AX31" i="13"/>
  <c r="AE31" i="13"/>
  <c r="V31" i="13"/>
  <c r="K31" i="13"/>
  <c r="X31" i="13"/>
  <c r="I31" i="13"/>
  <c r="F31" i="13"/>
  <c r="J31" i="13"/>
  <c r="AU31" i="13"/>
  <c r="AD31" i="13"/>
  <c r="AK31" i="13"/>
  <c r="AF31" i="13"/>
  <c r="R31" i="13"/>
  <c r="O31" i="13"/>
  <c r="L31" i="13"/>
  <c r="W31" i="13"/>
  <c r="M31" i="13"/>
  <c r="AY31" i="13"/>
  <c r="AL31" i="13"/>
  <c r="Z31" i="13"/>
  <c r="AC31" i="13"/>
  <c r="AV31" i="13"/>
  <c r="P31" i="13"/>
  <c r="G31" i="13"/>
  <c r="S31" i="13"/>
  <c r="N31" i="13"/>
  <c r="AO31" i="13"/>
  <c r="BH31" i="13"/>
  <c r="AS31" i="13"/>
  <c r="AJ31" i="13"/>
  <c r="AP31" i="13"/>
  <c r="AH31" i="13"/>
  <c r="AA31" i="13"/>
  <c r="BC31" i="13"/>
  <c r="AB31" i="13"/>
  <c r="BG31" i="13"/>
  <c r="AR31" i="13"/>
  <c r="BF31" i="13"/>
  <c r="BA31" i="13"/>
  <c r="BB31" i="13"/>
  <c r="BD31" i="13"/>
  <c r="AZ31" i="13"/>
  <c r="AQ31" i="13"/>
  <c r="BE31" i="13"/>
  <c r="AI31" i="13"/>
  <c r="AN31" i="13"/>
  <c r="AM31" i="13"/>
  <c r="AG31" i="13"/>
  <c r="G34" i="13"/>
  <c r="R34" i="13"/>
  <c r="M34" i="13"/>
  <c r="V34" i="13"/>
  <c r="S34" i="13"/>
  <c r="N34" i="13"/>
  <c r="X34" i="13"/>
  <c r="Q34" i="13"/>
  <c r="I34" i="13"/>
  <c r="P34" i="13"/>
  <c r="T34" i="13"/>
  <c r="L34" i="13"/>
  <c r="J34" i="13"/>
  <c r="W34" i="13"/>
  <c r="O34" i="13"/>
  <c r="H34" i="13"/>
  <c r="F34" i="13"/>
  <c r="K34" i="13"/>
  <c r="Y34" i="13"/>
  <c r="U34" i="13"/>
  <c r="AQ68" i="13"/>
  <c r="AV68" i="13"/>
  <c r="AM68" i="13"/>
  <c r="AR68" i="13"/>
  <c r="BA34" i="13"/>
  <c r="AM34" i="13"/>
  <c r="AL34" i="13"/>
  <c r="AN34" i="13"/>
  <c r="AQ34" i="13"/>
  <c r="AX34" i="13"/>
  <c r="BE34" i="13"/>
  <c r="Z34" i="13"/>
  <c r="AC34" i="13"/>
  <c r="BE68" i="13"/>
  <c r="AW68" i="13"/>
  <c r="AH68" i="13"/>
  <c r="BF68" i="13"/>
  <c r="AS34" i="13"/>
  <c r="AY34" i="13"/>
  <c r="AZ34" i="13"/>
  <c r="AV34" i="13"/>
  <c r="AL68" i="13"/>
  <c r="AY68" i="13"/>
  <c r="AA68" i="13"/>
  <c r="AN68" i="13"/>
  <c r="AE68" i="13"/>
  <c r="AP68" i="13"/>
  <c r="BC68" i="13"/>
  <c r="AK34" i="13"/>
  <c r="AH34" i="13"/>
  <c r="AO68" i="13"/>
  <c r="AF34" i="13"/>
  <c r="Z12" i="13"/>
  <c r="Z68" i="13"/>
  <c r="BB34" i="13"/>
  <c r="AP34" i="13"/>
  <c r="BD34" i="13"/>
  <c r="AC68" i="13"/>
  <c r="AD68" i="13"/>
  <c r="AI68" i="13"/>
  <c r="AJ68" i="13"/>
  <c r="AT68" i="13"/>
  <c r="BG34" i="13"/>
  <c r="BH34" i="13"/>
  <c r="AG68" i="13"/>
  <c r="BG68" i="13"/>
  <c r="AK68" i="13"/>
  <c r="BA68" i="13"/>
  <c r="AS68" i="13"/>
  <c r="BD68" i="13"/>
  <c r="AG34" i="13"/>
  <c r="AE34" i="13"/>
  <c r="AX68" i="13"/>
  <c r="AU68" i="13"/>
  <c r="AB34" i="13"/>
  <c r="AD34" i="13"/>
  <c r="AR34" i="13"/>
  <c r="AA34" i="13"/>
  <c r="AO34" i="13"/>
  <c r="BB68" i="13"/>
  <c r="BH68" i="13"/>
  <c r="AF68" i="13"/>
  <c r="AB68" i="13"/>
  <c r="AZ68" i="13"/>
  <c r="AU34" i="13"/>
  <c r="AJ34" i="13"/>
  <c r="AT34" i="13"/>
  <c r="AW34" i="13"/>
  <c r="BF34" i="13"/>
  <c r="AI34" i="13"/>
  <c r="BC34" i="13"/>
  <c r="O15" i="13"/>
  <c r="O71" i="13"/>
  <c r="K15" i="13"/>
  <c r="K71" i="13"/>
  <c r="F15" i="13"/>
  <c r="F71" i="13"/>
  <c r="U15" i="13"/>
  <c r="U71" i="13"/>
  <c r="Y15" i="13"/>
  <c r="Y71" i="13"/>
  <c r="AP15" i="13"/>
  <c r="AE15" i="13"/>
  <c r="AB15" i="13"/>
  <c r="W15" i="13"/>
  <c r="W71" i="13"/>
  <c r="P15" i="13"/>
  <c r="P71" i="13"/>
  <c r="M15" i="13"/>
  <c r="M71" i="13"/>
  <c r="Z15" i="13"/>
  <c r="H15" i="13"/>
  <c r="H71" i="13"/>
  <c r="AF15" i="13"/>
  <c r="J15" i="13"/>
  <c r="J71" i="13"/>
  <c r="V15" i="13"/>
  <c r="V71" i="13"/>
  <c r="R15" i="13"/>
  <c r="R71" i="13"/>
  <c r="AN15" i="13"/>
  <c r="X15" i="13"/>
  <c r="X71" i="13"/>
  <c r="AA15" i="13"/>
  <c r="AL15" i="13"/>
  <c r="AG15" i="13"/>
  <c r="AD15" i="13"/>
  <c r="AI15" i="13"/>
  <c r="AR15" i="13"/>
  <c r="AH15" i="13"/>
  <c r="G15" i="13"/>
  <c r="G71" i="13"/>
  <c r="Q15" i="13"/>
  <c r="Q71" i="13"/>
  <c r="N15" i="13"/>
  <c r="N71" i="13"/>
  <c r="L15" i="13"/>
  <c r="L71" i="13"/>
  <c r="AJ15" i="13"/>
  <c r="AQ15" i="13"/>
  <c r="AK15" i="13"/>
  <c r="I15" i="13"/>
  <c r="I71" i="13"/>
  <c r="AO15" i="13"/>
  <c r="T15" i="13"/>
  <c r="T71" i="13"/>
  <c r="AM15" i="13"/>
  <c r="S15" i="13"/>
  <c r="S71" i="13"/>
  <c r="AC15" i="13"/>
  <c r="CO63" i="13"/>
  <c r="BY46" i="13"/>
  <c r="BY63" i="13"/>
  <c r="BV46" i="13"/>
  <c r="BV63" i="13"/>
  <c r="CA46" i="13"/>
  <c r="CA63" i="13"/>
  <c r="CB46" i="13"/>
  <c r="CB63" i="13"/>
  <c r="CP63" i="13"/>
  <c r="CL63" i="13"/>
  <c r="CP29" i="13"/>
  <c r="CN29" i="13"/>
  <c r="CT29" i="13"/>
  <c r="CM29" i="13"/>
  <c r="BK46" i="13"/>
  <c r="BK63" i="13"/>
  <c r="BO46" i="13"/>
  <c r="BO63" i="13"/>
  <c r="CU63" i="13"/>
  <c r="CQ29" i="13"/>
  <c r="BN46" i="13"/>
  <c r="BN63" i="13"/>
  <c r="BS46" i="13"/>
  <c r="BS63" i="13"/>
  <c r="CF46" i="13"/>
  <c r="CF63" i="13"/>
  <c r="CC46" i="13"/>
  <c r="CC63" i="13"/>
  <c r="CE46" i="13"/>
  <c r="CE63" i="13"/>
  <c r="BT46" i="13"/>
  <c r="BT63" i="13"/>
  <c r="BM46" i="13"/>
  <c r="BM63" i="13"/>
  <c r="CL29" i="13"/>
  <c r="CH29" i="13"/>
  <c r="BP46" i="13"/>
  <c r="BP63" i="13"/>
  <c r="BU63" i="13"/>
  <c r="BL46" i="13"/>
  <c r="BL63" i="13"/>
  <c r="CK63" i="13"/>
  <c r="CI29" i="13"/>
  <c r="CS29" i="13"/>
  <c r="BW46" i="13"/>
  <c r="BW63" i="13"/>
  <c r="BJ46" i="13"/>
  <c r="BJ63" i="13"/>
  <c r="BQ46" i="13"/>
  <c r="BQ63" i="13"/>
  <c r="CS63" i="13"/>
  <c r="CK29" i="13"/>
  <c r="CJ29" i="13"/>
  <c r="BZ46" i="13"/>
  <c r="BZ63" i="13"/>
  <c r="BR46" i="13"/>
  <c r="BR63" i="13"/>
  <c r="BI46" i="13"/>
  <c r="CJ63" i="13"/>
  <c r="CN63" i="13"/>
  <c r="CO29" i="13"/>
  <c r="CV29" i="13"/>
  <c r="CD46" i="13"/>
  <c r="CD63" i="13"/>
  <c r="CG46" i="13"/>
  <c r="CG63" i="13"/>
  <c r="BX46" i="13"/>
  <c r="BX63" i="13"/>
  <c r="CM63" i="13"/>
  <c r="CV63" i="13"/>
  <c r="CT63" i="13"/>
  <c r="CR63" i="13"/>
  <c r="CR29" i="13"/>
  <c r="CU29" i="13"/>
  <c r="CI63" i="13"/>
  <c r="CQ63" i="13"/>
  <c r="CH63" i="13"/>
  <c r="AH43" i="13"/>
  <c r="AH60" i="13"/>
  <c r="BF43" i="13"/>
  <c r="BF60" i="13"/>
  <c r="AO43" i="13"/>
  <c r="AO60" i="13"/>
  <c r="Z43" i="13"/>
  <c r="CG26" i="13"/>
  <c r="AQ43" i="13"/>
  <c r="AQ60" i="13"/>
  <c r="BV26" i="13"/>
  <c r="AA43" i="13"/>
  <c r="AA60" i="13"/>
  <c r="BP26" i="13"/>
  <c r="AK43" i="13"/>
  <c r="AK60" i="13"/>
  <c r="BG43" i="13"/>
  <c r="BG60" i="13"/>
  <c r="BW26" i="13"/>
  <c r="AZ43" i="13"/>
  <c r="AZ60" i="13"/>
  <c r="AP43" i="13"/>
  <c r="AP60" i="13"/>
  <c r="AN43" i="13"/>
  <c r="AN60" i="13"/>
  <c r="AU43" i="13"/>
  <c r="AU60" i="13"/>
  <c r="BU26" i="13"/>
  <c r="AC43" i="13"/>
  <c r="AC60" i="13"/>
  <c r="AX43" i="13"/>
  <c r="AX60" i="13"/>
  <c r="BQ26" i="13"/>
  <c r="BA43" i="13"/>
  <c r="BA60" i="13"/>
  <c r="BH43" i="13"/>
  <c r="BH60" i="13"/>
  <c r="BE43" i="13"/>
  <c r="BE60" i="13"/>
  <c r="AT43" i="13"/>
  <c r="AT60" i="13"/>
  <c r="AG43" i="13"/>
  <c r="AG60" i="13"/>
  <c r="BZ26" i="13"/>
  <c r="AE43" i="13"/>
  <c r="AE60" i="13"/>
  <c r="AL43" i="13"/>
  <c r="AL60" i="13"/>
  <c r="AJ43" i="13"/>
  <c r="AJ60" i="13"/>
  <c r="BJ26" i="13"/>
  <c r="CB26" i="13"/>
  <c r="AF43" i="13"/>
  <c r="AF60" i="13"/>
  <c r="BO26" i="13"/>
  <c r="BI26" i="13"/>
  <c r="AI43" i="13"/>
  <c r="AI60" i="13"/>
  <c r="AR43" i="13"/>
  <c r="AR60" i="13"/>
  <c r="CD26" i="13"/>
  <c r="CA26" i="13"/>
  <c r="AY43" i="13"/>
  <c r="AY60" i="13"/>
  <c r="AV43" i="13"/>
  <c r="AV60" i="13"/>
  <c r="CF26" i="13"/>
  <c r="BB43" i="13"/>
  <c r="BB60" i="13"/>
  <c r="AS43" i="13"/>
  <c r="AS60" i="13"/>
  <c r="AD60" i="13"/>
  <c r="BY26" i="13"/>
  <c r="AM43" i="13"/>
  <c r="AM60" i="13"/>
  <c r="CE26" i="13"/>
  <c r="BN26" i="13"/>
  <c r="CC26" i="13"/>
  <c r="AW43" i="13"/>
  <c r="AW60" i="13"/>
  <c r="BL26" i="13"/>
  <c r="BX26" i="13"/>
  <c r="BD43" i="13"/>
  <c r="BD60" i="13"/>
  <c r="AB43" i="13"/>
  <c r="AB60" i="13"/>
  <c r="BK26" i="13"/>
  <c r="BC43" i="13"/>
  <c r="BC60" i="13"/>
  <c r="BR26" i="13"/>
  <c r="BT26" i="13"/>
  <c r="BM26" i="13"/>
  <c r="BS26" i="13"/>
  <c r="AO10" i="13"/>
  <c r="I10" i="13"/>
  <c r="I66" i="13"/>
  <c r="Z10" i="13"/>
  <c r="G10" i="13"/>
  <c r="G66" i="13"/>
  <c r="H10" i="13"/>
  <c r="H66" i="13"/>
  <c r="S10" i="13"/>
  <c r="S66" i="13"/>
  <c r="AI10" i="13"/>
  <c r="R10" i="13"/>
  <c r="R66" i="13"/>
  <c r="T10" i="13"/>
  <c r="T66" i="13"/>
  <c r="Y10" i="13"/>
  <c r="Y66" i="13"/>
  <c r="AM10" i="13"/>
  <c r="U10" i="13"/>
  <c r="U66" i="13"/>
  <c r="AN10" i="13"/>
  <c r="AG10" i="13"/>
  <c r="N10" i="13"/>
  <c r="N66" i="13"/>
  <c r="X10" i="13"/>
  <c r="X66" i="13"/>
  <c r="AA10" i="13"/>
  <c r="K10" i="13"/>
  <c r="K66" i="13"/>
  <c r="Q10" i="13"/>
  <c r="Q66" i="13"/>
  <c r="W10" i="13"/>
  <c r="W66" i="13"/>
  <c r="AD10" i="13"/>
  <c r="AB10" i="13"/>
  <c r="AL10" i="13"/>
  <c r="AP10" i="13"/>
  <c r="L10" i="13"/>
  <c r="L66" i="13"/>
  <c r="AF10" i="13"/>
  <c r="O10" i="13"/>
  <c r="O66" i="13"/>
  <c r="AE10" i="13"/>
  <c r="AQ10" i="13"/>
  <c r="AC10" i="13"/>
  <c r="AH10" i="13"/>
  <c r="AK10" i="13"/>
  <c r="F10" i="13"/>
  <c r="F66" i="13"/>
  <c r="M10" i="13"/>
  <c r="M66" i="13"/>
  <c r="AR10" i="13"/>
  <c r="V10" i="13"/>
  <c r="V66" i="13"/>
  <c r="J10" i="13"/>
  <c r="J66" i="13"/>
  <c r="P10" i="13"/>
  <c r="P66" i="13"/>
  <c r="AJ10" i="13"/>
  <c r="BN45" i="13"/>
  <c r="BT45" i="13"/>
  <c r="BJ45" i="13"/>
  <c r="CG45" i="13"/>
  <c r="BP45" i="13"/>
  <c r="BM45" i="13"/>
  <c r="BS45" i="13"/>
  <c r="BW45" i="13"/>
  <c r="BV45" i="13"/>
  <c r="BQ45" i="13"/>
  <c r="BK45" i="13"/>
  <c r="BI45" i="13"/>
  <c r="CB45" i="13"/>
  <c r="BZ45" i="13"/>
  <c r="BL45" i="13"/>
  <c r="BX45" i="13"/>
  <c r="BO45" i="13"/>
  <c r="CD45" i="13"/>
  <c r="CT28" i="13"/>
  <c r="CI28" i="13"/>
  <c r="CV28" i="13"/>
  <c r="CM28" i="13"/>
  <c r="CL28" i="13"/>
  <c r="CP28" i="13"/>
  <c r="CQ28" i="13"/>
  <c r="CS28" i="13"/>
  <c r="BR45" i="13"/>
  <c r="BY45" i="13"/>
  <c r="CA45" i="13"/>
  <c r="CE45" i="13"/>
  <c r="CC45" i="13"/>
  <c r="CF45" i="13"/>
  <c r="CR28" i="13"/>
  <c r="CO28" i="13"/>
  <c r="CJ28" i="13"/>
  <c r="CH28" i="13"/>
  <c r="CU28" i="13"/>
  <c r="CN28" i="13"/>
  <c r="CK28" i="13"/>
  <c r="BJ30" i="13"/>
  <c r="AJ47" i="13"/>
  <c r="AJ64" i="13"/>
  <c r="AG47" i="13"/>
  <c r="AG64" i="13"/>
  <c r="BU30" i="13"/>
  <c r="BY30" i="13"/>
  <c r="AQ47" i="13"/>
  <c r="AQ64" i="13"/>
  <c r="BB47" i="13"/>
  <c r="BB64" i="13"/>
  <c r="CF30" i="13"/>
  <c r="BF47" i="13"/>
  <c r="BF64" i="13"/>
  <c r="AN47" i="13"/>
  <c r="AN64" i="13"/>
  <c r="AK47" i="13"/>
  <c r="AK64" i="13"/>
  <c r="AI47" i="13"/>
  <c r="AI64" i="13"/>
  <c r="AV47" i="13"/>
  <c r="AV64" i="13"/>
  <c r="BM30" i="13"/>
  <c r="CE30" i="13"/>
  <c r="BN30" i="13"/>
  <c r="AZ47" i="13"/>
  <c r="AZ64" i="13"/>
  <c r="BV30" i="13"/>
  <c r="BX30" i="13"/>
  <c r="BP30" i="13"/>
  <c r="BD47" i="13"/>
  <c r="BD64" i="13"/>
  <c r="AR47" i="13"/>
  <c r="AR64" i="13"/>
  <c r="AE47" i="13"/>
  <c r="AE64" i="13"/>
  <c r="AX47" i="13"/>
  <c r="AX64" i="13"/>
  <c r="CD30" i="13"/>
  <c r="BT30" i="13"/>
  <c r="AW47" i="13"/>
  <c r="AW64" i="13"/>
  <c r="AD64" i="13"/>
  <c r="BL30" i="13"/>
  <c r="CA30" i="13"/>
  <c r="BR30" i="13"/>
  <c r="BH47" i="13"/>
  <c r="BH64" i="13"/>
  <c r="BS30" i="13"/>
  <c r="BQ30" i="13"/>
  <c r="CG30" i="13"/>
  <c r="AF47" i="13"/>
  <c r="AF64" i="13"/>
  <c r="AC47" i="13"/>
  <c r="AC64" i="13"/>
  <c r="BW30" i="13"/>
  <c r="BK30" i="13"/>
  <c r="AT47" i="13"/>
  <c r="AT64" i="13"/>
  <c r="AA47" i="13"/>
  <c r="AA64" i="13"/>
  <c r="AO47" i="13"/>
  <c r="AO64" i="13"/>
  <c r="AM47" i="13"/>
  <c r="AM64" i="13"/>
  <c r="AS47" i="13"/>
  <c r="AS64" i="13"/>
  <c r="BI30" i="13"/>
  <c r="AU47" i="13"/>
  <c r="AU64" i="13"/>
  <c r="BE47" i="13"/>
  <c r="BE64" i="13"/>
  <c r="AB47" i="13"/>
  <c r="AB64" i="13"/>
  <c r="AL47" i="13"/>
  <c r="AL64" i="13"/>
  <c r="BG47" i="13"/>
  <c r="BG64" i="13"/>
  <c r="AH47" i="13"/>
  <c r="AH64" i="13"/>
  <c r="BC47" i="13"/>
  <c r="BC64" i="13"/>
  <c r="AY47" i="13"/>
  <c r="AY64" i="13"/>
  <c r="BZ30" i="13"/>
  <c r="AP47" i="13"/>
  <c r="AP64" i="13"/>
  <c r="BA47" i="13"/>
  <c r="BA64" i="13"/>
  <c r="Z47" i="13"/>
  <c r="BO30" i="13"/>
  <c r="CB30" i="13"/>
  <c r="CC30" i="13"/>
  <c r="BK31" i="13"/>
  <c r="AQ48" i="13"/>
  <c r="AQ65" i="13"/>
  <c r="BE48" i="13"/>
  <c r="BE65" i="13"/>
  <c r="CC31" i="13"/>
  <c r="BP31" i="13"/>
  <c r="BR31" i="13"/>
  <c r="BQ31" i="13"/>
  <c r="AV48" i="13"/>
  <c r="AV65" i="13"/>
  <c r="AC48" i="13"/>
  <c r="AC65" i="13"/>
  <c r="BD48" i="13"/>
  <c r="BD65" i="13"/>
  <c r="BS31" i="13"/>
  <c r="CB31" i="13"/>
  <c r="CA31" i="13"/>
  <c r="CF31" i="13"/>
  <c r="AL48" i="13"/>
  <c r="AL65" i="13"/>
  <c r="BH48" i="13"/>
  <c r="BH65" i="13"/>
  <c r="AR48" i="13"/>
  <c r="AR65" i="13"/>
  <c r="BF48" i="13"/>
  <c r="BF65" i="13"/>
  <c r="BT31" i="13"/>
  <c r="CG31" i="13"/>
  <c r="AK48" i="13"/>
  <c r="AK65" i="13"/>
  <c r="BB48" i="13"/>
  <c r="BB65" i="13"/>
  <c r="AB48" i="13"/>
  <c r="AB65" i="13"/>
  <c r="BC48" i="13"/>
  <c r="BC65" i="13"/>
  <c r="BV31" i="13"/>
  <c r="BI31" i="13"/>
  <c r="BU31" i="13"/>
  <c r="CD31" i="13"/>
  <c r="BM31" i="13"/>
  <c r="AW48" i="13"/>
  <c r="AW65" i="13"/>
  <c r="AY48" i="13"/>
  <c r="AY65" i="13"/>
  <c r="AG48" i="13"/>
  <c r="AG65" i="13"/>
  <c r="AX48" i="13"/>
  <c r="AX65" i="13"/>
  <c r="AE48" i="13"/>
  <c r="AE65" i="13"/>
  <c r="AH48" i="13"/>
  <c r="AH65" i="13"/>
  <c r="BG48" i="13"/>
  <c r="BG65" i="13"/>
  <c r="AN48" i="13"/>
  <c r="AN65" i="13"/>
  <c r="BX31" i="13"/>
  <c r="CD65" i="13"/>
  <c r="CG65" i="13"/>
  <c r="CF65" i="13"/>
  <c r="CE31" i="13"/>
  <c r="BJ31" i="13"/>
  <c r="BO31" i="13"/>
  <c r="CB65" i="13"/>
  <c r="BJ65" i="13"/>
  <c r="BO65" i="13"/>
  <c r="CE65" i="13"/>
  <c r="BI65" i="13"/>
  <c r="BY31" i="13"/>
  <c r="BN31" i="13"/>
  <c r="AF48" i="13"/>
  <c r="AF65" i="13"/>
  <c r="AT48" i="13"/>
  <c r="AT65" i="13"/>
  <c r="AI48" i="13"/>
  <c r="AI65" i="13"/>
  <c r="AO48" i="13"/>
  <c r="AO65" i="13"/>
  <c r="AZ48" i="13"/>
  <c r="AZ65" i="13"/>
  <c r="AJ48" i="13"/>
  <c r="AJ65" i="13"/>
  <c r="AP48" i="13"/>
  <c r="AP65" i="13"/>
  <c r="AD65" i="13"/>
  <c r="AM48" i="13"/>
  <c r="AM65" i="13"/>
  <c r="BW31" i="13"/>
  <c r="BP65" i="13"/>
  <c r="BQ65" i="13"/>
  <c r="BX65" i="13"/>
  <c r="BS65" i="13"/>
  <c r="BN65" i="13"/>
  <c r="BA48" i="13"/>
  <c r="BA65" i="13"/>
  <c r="AU48" i="13"/>
  <c r="AU65" i="13"/>
  <c r="AS48" i="13"/>
  <c r="AS65" i="13"/>
  <c r="AA48" i="13"/>
  <c r="AA65" i="13"/>
  <c r="Z48" i="13"/>
  <c r="BZ31" i="13"/>
  <c r="BL31" i="13"/>
  <c r="BY65" i="13"/>
  <c r="BU65" i="13"/>
  <c r="BZ65" i="13"/>
  <c r="BL65" i="13"/>
  <c r="CA65" i="13"/>
  <c r="CC65" i="13"/>
  <c r="BR65" i="13"/>
  <c r="BM65" i="13"/>
  <c r="BT65" i="13"/>
  <c r="BW65" i="13"/>
  <c r="BK65" i="13"/>
  <c r="BV65" i="13"/>
  <c r="BM12" i="13"/>
  <c r="BT12" i="13"/>
  <c r="AV12" i="13"/>
  <c r="BQ12" i="13"/>
  <c r="BF12" i="13"/>
  <c r="BC12" i="13"/>
  <c r="BG12" i="13"/>
  <c r="BN12" i="13"/>
  <c r="BI12" i="13"/>
  <c r="BU12" i="13"/>
  <c r="AY12" i="13"/>
  <c r="BL12" i="13"/>
  <c r="BK12" i="13"/>
  <c r="AT12" i="13"/>
  <c r="BS12" i="13"/>
  <c r="AX12" i="13"/>
  <c r="AZ12" i="13"/>
  <c r="BH12" i="13"/>
  <c r="BJ12" i="13"/>
  <c r="BD12" i="13"/>
  <c r="BA12" i="13"/>
  <c r="BR12" i="13"/>
  <c r="AW12" i="13"/>
  <c r="BO12" i="13"/>
  <c r="BB12" i="13"/>
  <c r="BE12" i="13"/>
  <c r="AS12" i="13"/>
  <c r="AU12" i="13"/>
  <c r="BV12" i="13"/>
  <c r="BP12" i="13"/>
  <c r="AW15" i="13"/>
  <c r="BC15" i="13"/>
  <c r="AU15" i="13"/>
  <c r="BD15" i="13"/>
  <c r="BA15" i="13"/>
  <c r="BN15" i="13"/>
  <c r="BL15" i="13"/>
  <c r="BS15" i="13"/>
  <c r="BK15" i="13"/>
  <c r="BU15" i="13"/>
  <c r="AZ15" i="13"/>
  <c r="BH15" i="13"/>
  <c r="BP15" i="13"/>
  <c r="BO15" i="13"/>
  <c r="BF15" i="13"/>
  <c r="AX15" i="13"/>
  <c r="BB15" i="13"/>
  <c r="BJ15" i="13"/>
  <c r="BR15" i="13"/>
  <c r="AY15" i="13"/>
  <c r="BE15" i="13"/>
  <c r="BI15" i="13"/>
  <c r="AV15" i="13"/>
  <c r="AT15" i="13"/>
  <c r="AS15" i="13"/>
  <c r="BM15" i="13"/>
  <c r="BV15" i="13"/>
  <c r="BQ15" i="13"/>
  <c r="BG15" i="13"/>
  <c r="BT15" i="13"/>
  <c r="BX28" i="13"/>
  <c r="BM28" i="13"/>
  <c r="AR45" i="13"/>
  <c r="AR62" i="13"/>
  <c r="AC45" i="13"/>
  <c r="AC62" i="13"/>
  <c r="AW45" i="13"/>
  <c r="AW62" i="13"/>
  <c r="AS45" i="13"/>
  <c r="AS62" i="13"/>
  <c r="BU28" i="13"/>
  <c r="AF45" i="13"/>
  <c r="AF62" i="13"/>
  <c r="AI45" i="13"/>
  <c r="AI62" i="13"/>
  <c r="AT45" i="13"/>
  <c r="AT62" i="13"/>
  <c r="BH45" i="13"/>
  <c r="BH62" i="13"/>
  <c r="BI28" i="13"/>
  <c r="BJ62" i="13"/>
  <c r="CG62" i="13"/>
  <c r="BQ28" i="13"/>
  <c r="BV28" i="13"/>
  <c r="BJ28" i="13"/>
  <c r="BY28" i="13"/>
  <c r="Z45" i="13"/>
  <c r="BR28" i="13"/>
  <c r="BB45" i="13"/>
  <c r="BB62" i="13"/>
  <c r="AB45" i="13"/>
  <c r="AB62" i="13"/>
  <c r="AH45" i="13"/>
  <c r="AH62" i="13"/>
  <c r="AZ45" i="13"/>
  <c r="AZ62" i="13"/>
  <c r="AK45" i="13"/>
  <c r="AK62" i="13"/>
  <c r="AP45" i="13"/>
  <c r="AP62" i="13"/>
  <c r="BG45" i="13"/>
  <c r="BG62" i="13"/>
  <c r="BO28" i="13"/>
  <c r="BC45" i="13"/>
  <c r="BC62" i="13"/>
  <c r="AD62" i="13"/>
  <c r="AU45" i="13"/>
  <c r="AU62" i="13"/>
  <c r="AG45" i="13"/>
  <c r="AG62" i="13"/>
  <c r="AQ45" i="13"/>
  <c r="AQ62" i="13"/>
  <c r="AE45" i="13"/>
  <c r="AE62" i="13"/>
  <c r="AN45" i="13"/>
  <c r="AN62" i="13"/>
  <c r="AX45" i="13"/>
  <c r="AX62" i="13"/>
  <c r="AL45" i="13"/>
  <c r="AL62" i="13"/>
  <c r="BE45" i="13"/>
  <c r="BE62" i="13"/>
  <c r="BW28" i="13"/>
  <c r="BN62" i="13"/>
  <c r="BT62" i="13"/>
  <c r="BU62" i="13"/>
  <c r="CA28" i="13"/>
  <c r="BP28" i="13"/>
  <c r="BT28" i="13"/>
  <c r="CD28" i="13"/>
  <c r="CF28" i="13"/>
  <c r="CE28" i="13"/>
  <c r="BZ28" i="13"/>
  <c r="CB28" i="13"/>
  <c r="BD45" i="13"/>
  <c r="BD62" i="13"/>
  <c r="AJ45" i="13"/>
  <c r="AJ62" i="13"/>
  <c r="BA45" i="13"/>
  <c r="BA62" i="13"/>
  <c r="AV45" i="13"/>
  <c r="AV62" i="13"/>
  <c r="BR62" i="13"/>
  <c r="BY62" i="13"/>
  <c r="CA62" i="13"/>
  <c r="CE62" i="13"/>
  <c r="CC62" i="13"/>
  <c r="CF62" i="13"/>
  <c r="BL28" i="13"/>
  <c r="BN28" i="13"/>
  <c r="CC28" i="13"/>
  <c r="BP62" i="13"/>
  <c r="AY45" i="13"/>
  <c r="AY62" i="13"/>
  <c r="AO45" i="13"/>
  <c r="AO62" i="13"/>
  <c r="BF45" i="13"/>
  <c r="BF62" i="13"/>
  <c r="AA45" i="13"/>
  <c r="AA62" i="13"/>
  <c r="AM45" i="13"/>
  <c r="AM62" i="13"/>
  <c r="BS28" i="13"/>
  <c r="BK28" i="13"/>
  <c r="CG28" i="13"/>
  <c r="BM62" i="13"/>
  <c r="BS62" i="13"/>
  <c r="BW62" i="13"/>
  <c r="BV62" i="13"/>
  <c r="BQ62" i="13"/>
  <c r="BK62" i="13"/>
  <c r="CB62" i="13"/>
  <c r="BZ62" i="13"/>
  <c r="BL62" i="13"/>
  <c r="BX62" i="13"/>
  <c r="BO62" i="13"/>
  <c r="CD62" i="13"/>
  <c r="BI62" i="13"/>
  <c r="G4" i="13"/>
  <c r="G60" i="13"/>
  <c r="AF4" i="13"/>
  <c r="AN4" i="13"/>
  <c r="AL4" i="13"/>
  <c r="X4" i="13"/>
  <c r="X60" i="13"/>
  <c r="F4" i="13"/>
  <c r="F60" i="13"/>
  <c r="P4" i="13"/>
  <c r="P60" i="13"/>
  <c r="AG4" i="13"/>
  <c r="AB4" i="13"/>
  <c r="AK4" i="13"/>
  <c r="J4" i="13"/>
  <c r="J60" i="13"/>
  <c r="U4" i="13"/>
  <c r="U60" i="13"/>
  <c r="T4" i="13"/>
  <c r="T60" i="13"/>
  <c r="AH4" i="13"/>
  <c r="M4" i="13"/>
  <c r="M60" i="13"/>
  <c r="Q4" i="13"/>
  <c r="Q60" i="13"/>
  <c r="AC4" i="13"/>
  <c r="AJ4" i="13"/>
  <c r="W4" i="13"/>
  <c r="W60" i="13"/>
  <c r="O4" i="13"/>
  <c r="O60" i="13"/>
  <c r="AA4" i="13"/>
  <c r="K4" i="13"/>
  <c r="K60" i="13"/>
  <c r="AQ4" i="13"/>
  <c r="V4" i="13"/>
  <c r="V60" i="13"/>
  <c r="N4" i="13"/>
  <c r="N60" i="13"/>
  <c r="R4" i="13"/>
  <c r="R60" i="13"/>
  <c r="AI4" i="13"/>
  <c r="AD4" i="13"/>
  <c r="H4" i="13"/>
  <c r="H60" i="13"/>
  <c r="S4" i="13"/>
  <c r="S60" i="13"/>
  <c r="Z4" i="13"/>
  <c r="AE4" i="13"/>
  <c r="I4" i="13"/>
  <c r="I60" i="13"/>
  <c r="AO4" i="13"/>
  <c r="AR4" i="13"/>
  <c r="Y4" i="13"/>
  <c r="Y60" i="13"/>
  <c r="L4" i="13"/>
  <c r="L60" i="13"/>
  <c r="AP4" i="13"/>
  <c r="AM4" i="13"/>
  <c r="N8" i="13"/>
  <c r="N64" i="13"/>
  <c r="AA8" i="13"/>
  <c r="T8" i="13"/>
  <c r="T64" i="13"/>
  <c r="Q8" i="13"/>
  <c r="Q64" i="13"/>
  <c r="O8" i="13"/>
  <c r="O64" i="13"/>
  <c r="AH8" i="13"/>
  <c r="AO8" i="13"/>
  <c r="AG8" i="13"/>
  <c r="I8" i="13"/>
  <c r="I64" i="13"/>
  <c r="AM8" i="13"/>
  <c r="AR8" i="13"/>
  <c r="AK8" i="13"/>
  <c r="W8" i="13"/>
  <c r="W64" i="13"/>
  <c r="AL8" i="13"/>
  <c r="S8" i="13"/>
  <c r="S64" i="13"/>
  <c r="AI8" i="13"/>
  <c r="X8" i="13"/>
  <c r="X64" i="13"/>
  <c r="V8" i="13"/>
  <c r="V64" i="13"/>
  <c r="AJ8" i="13"/>
  <c r="G8" i="13"/>
  <c r="G64" i="13"/>
  <c r="U8" i="13"/>
  <c r="U64" i="13"/>
  <c r="K8" i="13"/>
  <c r="K64" i="13"/>
  <c r="AE8" i="13"/>
  <c r="P8" i="13"/>
  <c r="P64" i="13"/>
  <c r="AB8" i="13"/>
  <c r="AD8" i="13"/>
  <c r="L8" i="13"/>
  <c r="L64" i="13"/>
  <c r="F8" i="13"/>
  <c r="F64" i="13"/>
  <c r="H8" i="13"/>
  <c r="H64" i="13"/>
  <c r="AC8" i="13"/>
  <c r="M8" i="13"/>
  <c r="M64" i="13"/>
  <c r="AF8" i="13"/>
  <c r="AN8" i="13"/>
  <c r="J8" i="13"/>
  <c r="J64" i="13"/>
  <c r="AQ8" i="13"/>
  <c r="R8" i="13"/>
  <c r="R64" i="13"/>
  <c r="Z8" i="13"/>
  <c r="Y8" i="13"/>
  <c r="Y64" i="13"/>
  <c r="AP8" i="13"/>
  <c r="S33" i="13"/>
  <c r="N33" i="13"/>
  <c r="BH33" i="13"/>
  <c r="AV33" i="13"/>
  <c r="AN33" i="13"/>
  <c r="AF33" i="13"/>
  <c r="AZ33" i="13"/>
  <c r="G33" i="13"/>
  <c r="H33" i="13"/>
  <c r="BG33" i="13"/>
  <c r="BC33" i="13"/>
  <c r="AA67" i="13"/>
  <c r="AH67" i="13"/>
  <c r="AR67" i="13"/>
  <c r="AR33" i="13"/>
  <c r="BD33" i="13"/>
  <c r="V33" i="13"/>
  <c r="R33" i="13"/>
  <c r="J33" i="13"/>
  <c r="Z33" i="13"/>
  <c r="AO33" i="13"/>
  <c r="BB33" i="13"/>
  <c r="AX33" i="13"/>
  <c r="O33" i="13"/>
  <c r="L33" i="13"/>
  <c r="I33" i="13"/>
  <c r="AE33" i="13"/>
  <c r="AH33" i="13"/>
  <c r="AZ67" i="13"/>
  <c r="AD67" i="13"/>
  <c r="BD67" i="13"/>
  <c r="AK33" i="13"/>
  <c r="AS33" i="13"/>
  <c r="T33" i="13"/>
  <c r="P33" i="13"/>
  <c r="X33" i="13"/>
  <c r="AG33" i="13"/>
  <c r="AW33" i="13"/>
  <c r="BG67" i="13"/>
  <c r="AK67" i="13"/>
  <c r="AG67" i="13"/>
  <c r="AT67" i="13"/>
  <c r="AB33" i="13"/>
  <c r="AA33" i="13"/>
  <c r="AI33" i="13"/>
  <c r="Y33" i="13"/>
  <c r="W33" i="13"/>
  <c r="AM33" i="13"/>
  <c r="AJ33" i="13"/>
  <c r="AP33" i="13"/>
  <c r="AP67" i="13"/>
  <c r="AV67" i="13"/>
  <c r="BC67" i="13"/>
  <c r="BH67" i="13"/>
  <c r="AN67" i="13"/>
  <c r="BA67" i="13"/>
  <c r="AI67" i="13"/>
  <c r="AL67" i="13"/>
  <c r="BF33" i="13"/>
  <c r="BE33" i="13"/>
  <c r="F33" i="13"/>
  <c r="U33" i="13"/>
  <c r="AC33" i="13"/>
  <c r="AY33" i="13"/>
  <c r="BF67" i="13"/>
  <c r="AM67" i="13"/>
  <c r="AO67" i="13"/>
  <c r="AC67" i="13"/>
  <c r="AJ67" i="13"/>
  <c r="AY67" i="13"/>
  <c r="AD33" i="13"/>
  <c r="AL33" i="13"/>
  <c r="M33" i="13"/>
  <c r="K33" i="13"/>
  <c r="Q33" i="13"/>
  <c r="AT33" i="13"/>
  <c r="BA33" i="13"/>
  <c r="AQ67" i="13"/>
  <c r="BE67" i="13"/>
  <c r="AB67" i="13"/>
  <c r="BB67" i="13"/>
  <c r="AU67" i="13"/>
  <c r="AE67" i="13"/>
  <c r="AX67" i="13"/>
  <c r="AW67" i="13"/>
  <c r="AF67" i="13"/>
  <c r="AS67" i="13"/>
  <c r="AU33" i="13"/>
  <c r="AQ33" i="13"/>
  <c r="Z67" i="13"/>
  <c r="M14" i="13"/>
  <c r="M70" i="13"/>
  <c r="U14" i="13"/>
  <c r="U70" i="13"/>
  <c r="F14" i="13"/>
  <c r="F70" i="13"/>
  <c r="AQ14" i="13"/>
  <c r="AK14" i="13"/>
  <c r="AB14" i="13"/>
  <c r="H14" i="13"/>
  <c r="H70" i="13"/>
  <c r="W14" i="13"/>
  <c r="W70" i="13"/>
  <c r="AD14" i="13"/>
  <c r="O14" i="13"/>
  <c r="O70" i="13"/>
  <c r="N14" i="13"/>
  <c r="N70" i="13"/>
  <c r="AP14" i="13"/>
  <c r="P14" i="13"/>
  <c r="P70" i="13"/>
  <c r="AF14" i="13"/>
  <c r="I14" i="13"/>
  <c r="I70" i="13"/>
  <c r="T14" i="13"/>
  <c r="T70" i="13"/>
  <c r="AI14" i="13"/>
  <c r="K14" i="13"/>
  <c r="K70" i="13"/>
  <c r="AE14" i="13"/>
  <c r="AC14" i="13"/>
  <c r="AO14" i="13"/>
  <c r="R14" i="13"/>
  <c r="R70" i="13"/>
  <c r="AL14" i="13"/>
  <c r="AM14" i="13"/>
  <c r="AH14" i="13"/>
  <c r="AG14" i="13"/>
  <c r="S14" i="13"/>
  <c r="S70" i="13"/>
  <c r="Q14" i="13"/>
  <c r="Q70" i="13"/>
  <c r="J14" i="13"/>
  <c r="J70" i="13"/>
  <c r="AJ14" i="13"/>
  <c r="AA14" i="13"/>
  <c r="G14" i="13"/>
  <c r="G70" i="13"/>
  <c r="Y14" i="13"/>
  <c r="Y70" i="13"/>
  <c r="X14" i="13"/>
  <c r="X70" i="13"/>
  <c r="L14" i="13"/>
  <c r="L70" i="13"/>
  <c r="V14" i="13"/>
  <c r="V70" i="13"/>
  <c r="AN14" i="13"/>
  <c r="AR14" i="13"/>
  <c r="CK43" i="13"/>
  <c r="CK60" i="13"/>
  <c r="CP43" i="13"/>
  <c r="CT43" i="13"/>
  <c r="CT60" i="13"/>
  <c r="CN43" i="13"/>
  <c r="CU26" i="13"/>
  <c r="CN26" i="13"/>
  <c r="BK43" i="13"/>
  <c r="BK60" i="13"/>
  <c r="CC43" i="13"/>
  <c r="CC60" i="13"/>
  <c r="CU43" i="13"/>
  <c r="CU60" i="13"/>
  <c r="CV43" i="13"/>
  <c r="CK26" i="13"/>
  <c r="BY43" i="13"/>
  <c r="BY60" i="13"/>
  <c r="CG43" i="13"/>
  <c r="CG60" i="13"/>
  <c r="CA43" i="13"/>
  <c r="CA60" i="13"/>
  <c r="BO43" i="13"/>
  <c r="BO60" i="13"/>
  <c r="BL43" i="13"/>
  <c r="BL60" i="13"/>
  <c r="BZ43" i="13"/>
  <c r="BZ60" i="13"/>
  <c r="CH43" i="13"/>
  <c r="CH60" i="13"/>
  <c r="CO43" i="13"/>
  <c r="CO60" i="13"/>
  <c r="CP60" i="13"/>
  <c r="CN60" i="13"/>
  <c r="CO26" i="13"/>
  <c r="CL26" i="13"/>
  <c r="BS43" i="13"/>
  <c r="BS60" i="13"/>
  <c r="BM43" i="13"/>
  <c r="BM60" i="13"/>
  <c r="CE43" i="13"/>
  <c r="CE60" i="13"/>
  <c r="BW43" i="13"/>
  <c r="BW60" i="13"/>
  <c r="CS43" i="13"/>
  <c r="CV60" i="13"/>
  <c r="CQ43" i="13"/>
  <c r="CQ60" i="13"/>
  <c r="CT26" i="13"/>
  <c r="CI26" i="13"/>
  <c r="BR43" i="13"/>
  <c r="BR60" i="13"/>
  <c r="BU60" i="13"/>
  <c r="CR60" i="13"/>
  <c r="CM43" i="13"/>
  <c r="CM26" i="13"/>
  <c r="CV26" i="13"/>
  <c r="CB43" i="13"/>
  <c r="CB60" i="13"/>
  <c r="BT43" i="13"/>
  <c r="BT60" i="13"/>
  <c r="BP43" i="13"/>
  <c r="BP60" i="13"/>
  <c r="BJ43" i="13"/>
  <c r="BJ60" i="13"/>
  <c r="CF43" i="13"/>
  <c r="CF60" i="13"/>
  <c r="BI43" i="13"/>
  <c r="BV43" i="13"/>
  <c r="BV60" i="13"/>
  <c r="CL43" i="13"/>
  <c r="CL60" i="13"/>
  <c r="CH26" i="13"/>
  <c r="CJ26" i="13"/>
  <c r="BN43" i="13"/>
  <c r="BN60" i="13"/>
  <c r="BQ43" i="13"/>
  <c r="BQ60" i="13"/>
  <c r="BX43" i="13"/>
  <c r="BX60" i="13"/>
  <c r="CM60" i="13"/>
  <c r="CS26" i="13"/>
  <c r="CQ26" i="13"/>
  <c r="CS60" i="13"/>
  <c r="CJ43" i="13"/>
  <c r="CJ60" i="13"/>
  <c r="CI43" i="13"/>
  <c r="CI60" i="13"/>
  <c r="CR26" i="13"/>
  <c r="CP26" i="13"/>
  <c r="CD43" i="13"/>
  <c r="CD60" i="13"/>
  <c r="CR30" i="13"/>
  <c r="CK30" i="13"/>
  <c r="CE47" i="13"/>
  <c r="CE64" i="13"/>
  <c r="CF47" i="13"/>
  <c r="CF64" i="13"/>
  <c r="BO47" i="13"/>
  <c r="BO64" i="13"/>
  <c r="BU64" i="13"/>
  <c r="BN47" i="13"/>
  <c r="BN64" i="13"/>
  <c r="BS47" i="13"/>
  <c r="BS64" i="13"/>
  <c r="CH30" i="13"/>
  <c r="CI30" i="13"/>
  <c r="BZ47" i="13"/>
  <c r="BZ64" i="13"/>
  <c r="CA47" i="13"/>
  <c r="CA64" i="13"/>
  <c r="BP47" i="13"/>
  <c r="BP64" i="13"/>
  <c r="BI47" i="13"/>
  <c r="CB47" i="13"/>
  <c r="CB64" i="13"/>
  <c r="CD47" i="13"/>
  <c r="CD64" i="13"/>
  <c r="BR47" i="13"/>
  <c r="BR64" i="13"/>
  <c r="CJ30" i="13"/>
  <c r="CV30" i="13"/>
  <c r="CS30" i="13"/>
  <c r="CN30" i="13"/>
  <c r="BV47" i="13"/>
  <c r="BV64" i="13"/>
  <c r="BK47" i="13"/>
  <c r="BK64" i="13"/>
  <c r="BY47" i="13"/>
  <c r="BY64" i="13"/>
  <c r="BL47" i="13"/>
  <c r="BL64" i="13"/>
  <c r="CC47" i="13"/>
  <c r="CC64" i="13"/>
  <c r="BW47" i="13"/>
  <c r="BW64" i="13"/>
  <c r="CP47" i="13"/>
  <c r="CS47" i="13"/>
  <c r="CS64" i="13"/>
  <c r="CO30" i="13"/>
  <c r="BX47" i="13"/>
  <c r="BX64" i="13"/>
  <c r="BT47" i="13"/>
  <c r="BT64" i="13"/>
  <c r="CG47" i="13"/>
  <c r="CG64" i="13"/>
  <c r="BM47" i="13"/>
  <c r="BM64" i="13"/>
  <c r="BQ47" i="13"/>
  <c r="BQ64" i="13"/>
  <c r="BJ47" i="13"/>
  <c r="BJ64" i="13"/>
  <c r="CL47" i="13"/>
  <c r="CL64" i="13"/>
  <c r="CO47" i="13"/>
  <c r="CO64" i="13"/>
  <c r="CK47" i="13"/>
  <c r="CK64" i="13"/>
  <c r="CL30" i="13"/>
  <c r="CU30" i="13"/>
  <c r="CT47" i="13"/>
  <c r="CI47" i="13"/>
  <c r="CU47" i="13"/>
  <c r="CV47" i="13"/>
  <c r="CV64" i="13"/>
  <c r="CN47" i="13"/>
  <c r="CN64" i="13"/>
  <c r="CM30" i="13"/>
  <c r="CP30" i="13"/>
  <c r="CP64" i="13"/>
  <c r="CQ47" i="13"/>
  <c r="CQ64" i="13"/>
  <c r="CT64" i="13"/>
  <c r="CI64" i="13"/>
  <c r="CU64" i="13"/>
  <c r="CJ47" i="13"/>
  <c r="CJ64" i="13"/>
  <c r="CH47" i="13"/>
  <c r="CT30" i="13"/>
  <c r="CQ30" i="13"/>
  <c r="CM47" i="13"/>
  <c r="CM64" i="13"/>
  <c r="CR64" i="13"/>
  <c r="CG11" i="13"/>
  <c r="BZ11" i="13"/>
  <c r="CK11" i="13"/>
  <c r="CP11" i="13"/>
  <c r="CN11" i="13"/>
  <c r="CH11" i="13"/>
  <c r="CE11" i="13"/>
  <c r="CO11" i="13"/>
  <c r="CJ11" i="13"/>
  <c r="CI11" i="13"/>
  <c r="CB11" i="13"/>
  <c r="CF11" i="13"/>
  <c r="CL11" i="13"/>
  <c r="BW11" i="13"/>
  <c r="CA11" i="13"/>
  <c r="CC11" i="13"/>
  <c r="CD11" i="13"/>
  <c r="BX11" i="13"/>
  <c r="CM11" i="13"/>
  <c r="BY11" i="13"/>
  <c r="CH36" i="13"/>
  <c r="CV36" i="13"/>
  <c r="CJ36" i="13"/>
  <c r="CU36" i="13"/>
  <c r="CR36" i="13"/>
  <c r="CK36" i="13"/>
  <c r="CL36" i="13"/>
  <c r="CP36" i="13"/>
  <c r="CI36" i="13"/>
  <c r="CM36" i="13"/>
  <c r="CM53" i="13"/>
  <c r="CM70" i="13"/>
  <c r="CV53" i="13"/>
  <c r="CV70" i="13"/>
  <c r="CN53" i="13"/>
  <c r="CN36" i="13"/>
  <c r="CO36" i="13"/>
  <c r="CH53" i="13"/>
  <c r="CK53" i="13"/>
  <c r="CK70" i="13"/>
  <c r="CJ53" i="13"/>
  <c r="CT53" i="13"/>
  <c r="CT70" i="13"/>
  <c r="CQ53" i="13"/>
  <c r="CR70" i="13"/>
  <c r="CS36" i="13"/>
  <c r="CQ36" i="13"/>
  <c r="CS53" i="13"/>
  <c r="CS70" i="13"/>
  <c r="CN70" i="13"/>
  <c r="CT36" i="13"/>
  <c r="CU53" i="13"/>
  <c r="CU70" i="13"/>
  <c r="CJ70" i="13"/>
  <c r="CQ70" i="13"/>
  <c r="CP53" i="13"/>
  <c r="CL53" i="13"/>
  <c r="CI53" i="13"/>
  <c r="CO53" i="13"/>
  <c r="CP70" i="13"/>
  <c r="CL70" i="13"/>
  <c r="CI70" i="13"/>
  <c r="CO70" i="13"/>
  <c r="CH70" i="13"/>
  <c r="BK53" i="13"/>
  <c r="BK70" i="13"/>
  <c r="BI53" i="13"/>
  <c r="BX53" i="13"/>
  <c r="BX70" i="13"/>
  <c r="BT53" i="13"/>
  <c r="BT70" i="13"/>
  <c r="CG53" i="13"/>
  <c r="CG70" i="13"/>
  <c r="BW53" i="13"/>
  <c r="BW70" i="13"/>
  <c r="BY53" i="13"/>
  <c r="BY70" i="13"/>
  <c r="BJ53" i="13"/>
  <c r="BJ70" i="13"/>
  <c r="CF53" i="13"/>
  <c r="CF70" i="13"/>
  <c r="BO53" i="13"/>
  <c r="BO70" i="13"/>
  <c r="BR53" i="13"/>
  <c r="BR70" i="13"/>
  <c r="CE53" i="13"/>
  <c r="CE70" i="13"/>
  <c r="BP53" i="13"/>
  <c r="BP70" i="13"/>
  <c r="BM53" i="13"/>
  <c r="BM70" i="13"/>
  <c r="BV53" i="13"/>
  <c r="BV70" i="13"/>
  <c r="BS53" i="13"/>
  <c r="BS70" i="13"/>
  <c r="CB53" i="13"/>
  <c r="CB70" i="13"/>
  <c r="BN53" i="13"/>
  <c r="BN70" i="13"/>
  <c r="CC53" i="13"/>
  <c r="CC70" i="13"/>
  <c r="BQ53" i="13"/>
  <c r="BQ70" i="13"/>
  <c r="CA53" i="13"/>
  <c r="CA70" i="13"/>
  <c r="BL53" i="13"/>
  <c r="BL70" i="13"/>
  <c r="BU70" i="13"/>
  <c r="BZ53" i="13"/>
  <c r="BZ70" i="13"/>
  <c r="CD53" i="13"/>
  <c r="CD70" i="13"/>
  <c r="CA32" i="13"/>
  <c r="BD49" i="13"/>
  <c r="BD66" i="13"/>
  <c r="AL49" i="13"/>
  <c r="AL66" i="13"/>
  <c r="AJ49" i="13"/>
  <c r="AJ66" i="13"/>
  <c r="AV49" i="13"/>
  <c r="AV66" i="13"/>
  <c r="AO49" i="13"/>
  <c r="AO66" i="13"/>
  <c r="BX66" i="13"/>
  <c r="BS32" i="13"/>
  <c r="BO32" i="13"/>
  <c r="BP66" i="13"/>
  <c r="BU32" i="13"/>
  <c r="CF32" i="13"/>
  <c r="BC49" i="13"/>
  <c r="BC66" i="13"/>
  <c r="AE49" i="13"/>
  <c r="AE66" i="13"/>
  <c r="AD66" i="13"/>
  <c r="AS49" i="13"/>
  <c r="AS66" i="13"/>
  <c r="BI32" i="13"/>
  <c r="BZ32" i="13"/>
  <c r="CC66" i="13"/>
  <c r="BJ32" i="13"/>
  <c r="BY32" i="13"/>
  <c r="Z49" i="13"/>
  <c r="AN49" i="13"/>
  <c r="AN66" i="13"/>
  <c r="AM49" i="13"/>
  <c r="AM66" i="13"/>
  <c r="AI49" i="13"/>
  <c r="AI66" i="13"/>
  <c r="BG49" i="13"/>
  <c r="BG66" i="13"/>
  <c r="BN32" i="13"/>
  <c r="CA66" i="13"/>
  <c r="CF66" i="13"/>
  <c r="BJ66" i="13"/>
  <c r="BU66" i="13"/>
  <c r="BV32" i="13"/>
  <c r="AR49" i="13"/>
  <c r="AR66" i="13"/>
  <c r="AF49" i="13"/>
  <c r="AF66" i="13"/>
  <c r="AK49" i="13"/>
  <c r="AK66" i="13"/>
  <c r="AB49" i="13"/>
  <c r="AB66" i="13"/>
  <c r="CD32" i="13"/>
  <c r="CC32" i="13"/>
  <c r="BP32" i="13"/>
  <c r="BM32" i="13"/>
  <c r="AQ49" i="13"/>
  <c r="AQ66" i="13"/>
  <c r="AZ49" i="13"/>
  <c r="AZ66" i="13"/>
  <c r="AX49" i="13"/>
  <c r="AX66" i="13"/>
  <c r="BF49" i="13"/>
  <c r="BF66" i="13"/>
  <c r="AH49" i="13"/>
  <c r="AH66" i="13"/>
  <c r="AW49" i="13"/>
  <c r="AW66" i="13"/>
  <c r="AT49" i="13"/>
  <c r="AT66" i="13"/>
  <c r="AU49" i="13"/>
  <c r="AU66" i="13"/>
  <c r="CE32" i="13"/>
  <c r="BR66" i="13"/>
  <c r="BY66" i="13"/>
  <c r="BV66" i="13"/>
  <c r="BM66" i="13"/>
  <c r="BS66" i="13"/>
  <c r="BT32" i="13"/>
  <c r="BL32" i="13"/>
  <c r="CB32" i="13"/>
  <c r="BW66" i="13"/>
  <c r="BR32" i="13"/>
  <c r="BO66" i="13"/>
  <c r="CB66" i="13"/>
  <c r="BT66" i="13"/>
  <c r="BQ32" i="13"/>
  <c r="BX32" i="13"/>
  <c r="AP49" i="13"/>
  <c r="AP66" i="13"/>
  <c r="AY49" i="13"/>
  <c r="AY66" i="13"/>
  <c r="AG49" i="13"/>
  <c r="AG66" i="13"/>
  <c r="BA49" i="13"/>
  <c r="BA66" i="13"/>
  <c r="BH49" i="13"/>
  <c r="BH66" i="13"/>
  <c r="BB49" i="13"/>
  <c r="BB66" i="13"/>
  <c r="BE49" i="13"/>
  <c r="BE66" i="13"/>
  <c r="AC49" i="13"/>
  <c r="AC66" i="13"/>
  <c r="AA49" i="13"/>
  <c r="AA66" i="13"/>
  <c r="BN66" i="13"/>
  <c r="BI66" i="13"/>
  <c r="BK66" i="13"/>
  <c r="BL66" i="13"/>
  <c r="CD66" i="13"/>
  <c r="BZ66" i="13"/>
  <c r="CG66" i="13"/>
  <c r="BQ66" i="13"/>
  <c r="BW32" i="13"/>
  <c r="CE66" i="13"/>
  <c r="CG32" i="13"/>
  <c r="BK32" i="13"/>
  <c r="AP27" i="13"/>
  <c r="I27" i="13"/>
  <c r="AS27" i="13"/>
  <c r="T27" i="13"/>
  <c r="BH27" i="13"/>
  <c r="AV27" i="13"/>
  <c r="AL27" i="13"/>
  <c r="P27" i="13"/>
  <c r="AR27" i="13"/>
  <c r="AF27" i="13"/>
  <c r="Z27" i="13"/>
  <c r="AG61" i="13"/>
  <c r="AQ27" i="13"/>
  <c r="Y27" i="13"/>
  <c r="G27" i="13"/>
  <c r="AQ61" i="13"/>
  <c r="AA61" i="13"/>
  <c r="BB61" i="13"/>
  <c r="R27" i="13"/>
  <c r="AB27" i="13"/>
  <c r="BD27" i="13"/>
  <c r="AT27" i="13"/>
  <c r="BE27" i="13"/>
  <c r="Q27" i="13"/>
  <c r="AO61" i="13"/>
  <c r="AC61" i="13"/>
  <c r="M27" i="13"/>
  <c r="BF27" i="13"/>
  <c r="AH27" i="13"/>
  <c r="AL61" i="13"/>
  <c r="AB61" i="13"/>
  <c r="AD61" i="13"/>
  <c r="BF61" i="13"/>
  <c r="AU61" i="13"/>
  <c r="AZ61" i="13"/>
  <c r="AW61" i="13"/>
  <c r="O27" i="13"/>
  <c r="AD27" i="13"/>
  <c r="U27" i="13"/>
  <c r="AJ61" i="13"/>
  <c r="BG61" i="13"/>
  <c r="AR61" i="13"/>
  <c r="AI61" i="13"/>
  <c r="AM61" i="13"/>
  <c r="AY61" i="13"/>
  <c r="AJ27" i="13"/>
  <c r="BE61" i="13"/>
  <c r="BA27" i="13"/>
  <c r="AE27" i="13"/>
  <c r="N27" i="13"/>
  <c r="AY27" i="13"/>
  <c r="S27" i="13"/>
  <c r="J27" i="13"/>
  <c r="L27" i="13"/>
  <c r="AU27" i="13"/>
  <c r="AA27" i="13"/>
  <c r="AX61" i="13"/>
  <c r="BG27" i="13"/>
  <c r="AM27" i="13"/>
  <c r="BC61" i="13"/>
  <c r="BD61" i="13"/>
  <c r="AT61" i="13"/>
  <c r="V27" i="13"/>
  <c r="AK27" i="13"/>
  <c r="AV61" i="13"/>
  <c r="BA61" i="13"/>
  <c r="AS61" i="13"/>
  <c r="BB27" i="13"/>
  <c r="H27" i="13"/>
  <c r="AW27" i="13"/>
  <c r="AZ27" i="13"/>
  <c r="K27" i="13"/>
  <c r="BH61" i="13"/>
  <c r="X27" i="13"/>
  <c r="AG27" i="13"/>
  <c r="AP61" i="13"/>
  <c r="AO27" i="13"/>
  <c r="AX27" i="13"/>
  <c r="AN27" i="13"/>
  <c r="AI27" i="13"/>
  <c r="AH61" i="13"/>
  <c r="AK61" i="13"/>
  <c r="AN61" i="13"/>
  <c r="AE61" i="13"/>
  <c r="AF61" i="13"/>
  <c r="W27" i="13"/>
  <c r="F27" i="13"/>
  <c r="BC27" i="13"/>
  <c r="AC27" i="13"/>
  <c r="Z61" i="13"/>
  <c r="AO9" i="13"/>
  <c r="N9" i="13"/>
  <c r="N65" i="13"/>
  <c r="AK9" i="13"/>
  <c r="K9" i="13"/>
  <c r="K65" i="13"/>
  <c r="AQ9" i="13"/>
  <c r="U9" i="13"/>
  <c r="U65" i="13"/>
  <c r="AE9" i="13"/>
  <c r="AF9" i="13"/>
  <c r="O9" i="13"/>
  <c r="O65" i="13"/>
  <c r="P9" i="13"/>
  <c r="P65" i="13"/>
  <c r="AH9" i="13"/>
  <c r="Z9" i="13"/>
  <c r="AJ9" i="13"/>
  <c r="AA9" i="13"/>
  <c r="V9" i="13"/>
  <c r="V65" i="13"/>
  <c r="W9" i="13"/>
  <c r="W65" i="13"/>
  <c r="I9" i="13"/>
  <c r="I65" i="13"/>
  <c r="Y9" i="13"/>
  <c r="Y65" i="13"/>
  <c r="F9" i="13"/>
  <c r="F65" i="13"/>
  <c r="X9" i="13"/>
  <c r="X65" i="13"/>
  <c r="AP9" i="13"/>
  <c r="AL9" i="13"/>
  <c r="AD9" i="13"/>
  <c r="S9" i="13"/>
  <c r="S65" i="13"/>
  <c r="J9" i="13"/>
  <c r="J65" i="13"/>
  <c r="H9" i="13"/>
  <c r="H65" i="13"/>
  <c r="AB9" i="13"/>
  <c r="G9" i="13"/>
  <c r="G65" i="13"/>
  <c r="AC9" i="13"/>
  <c r="L9" i="13"/>
  <c r="L65" i="13"/>
  <c r="R9" i="13"/>
  <c r="R65" i="13"/>
  <c r="AI9" i="13"/>
  <c r="M9" i="13"/>
  <c r="M65" i="13"/>
  <c r="T9" i="13"/>
  <c r="T65" i="13"/>
  <c r="Q9" i="13"/>
  <c r="Q65" i="13"/>
  <c r="AM9" i="13"/>
  <c r="AR9" i="13"/>
  <c r="AN9" i="13"/>
  <c r="AG9" i="13"/>
  <c r="H12" i="13"/>
  <c r="H68" i="13"/>
  <c r="AA12" i="13"/>
  <c r="J12" i="13"/>
  <c r="J68" i="13"/>
  <c r="AN12" i="13"/>
  <c r="O12" i="13"/>
  <c r="O68" i="13"/>
  <c r="AR12" i="13"/>
  <c r="AM12" i="13"/>
  <c r="V12" i="13"/>
  <c r="V68" i="13"/>
  <c r="K12" i="13"/>
  <c r="K68" i="13"/>
  <c r="R12" i="13"/>
  <c r="R68" i="13"/>
  <c r="N12" i="13"/>
  <c r="N68" i="13"/>
  <c r="Q12" i="13"/>
  <c r="Q68" i="13"/>
  <c r="AF12" i="13"/>
  <c r="L12" i="13"/>
  <c r="L68" i="13"/>
  <c r="AG12" i="13"/>
  <c r="AJ12" i="13"/>
  <c r="AH12" i="13"/>
  <c r="M12" i="13"/>
  <c r="M68" i="13"/>
  <c r="I12" i="13"/>
  <c r="I68" i="13"/>
  <c r="G12" i="13"/>
  <c r="G68" i="13"/>
  <c r="AD12" i="13"/>
  <c r="AP12" i="13"/>
  <c r="AQ12" i="13"/>
  <c r="AL12" i="13"/>
  <c r="AI12" i="13"/>
  <c r="AE12" i="13"/>
  <c r="S12" i="13"/>
  <c r="S68" i="13"/>
  <c r="U12" i="13"/>
  <c r="U68" i="13"/>
  <c r="AK12" i="13"/>
  <c r="F12" i="13"/>
  <c r="F68" i="13"/>
  <c r="AC12" i="13"/>
  <c r="X12" i="13"/>
  <c r="X68" i="13"/>
  <c r="AO12" i="13"/>
  <c r="W12" i="13"/>
  <c r="W68" i="13"/>
  <c r="T12" i="13"/>
  <c r="T68" i="13"/>
  <c r="Y12" i="13"/>
  <c r="Y68" i="13"/>
  <c r="P12" i="13"/>
  <c r="P68" i="13"/>
  <c r="AB12" i="13"/>
  <c r="Y37" i="13"/>
  <c r="BE37" i="13"/>
  <c r="I37" i="13"/>
  <c r="BA37" i="13"/>
  <c r="J37" i="13"/>
  <c r="AX37" i="13"/>
  <c r="AL37" i="13"/>
  <c r="AS71" i="13"/>
  <c r="BA71" i="13"/>
  <c r="AP71" i="13"/>
  <c r="X37" i="13"/>
  <c r="AK37" i="13"/>
  <c r="R37" i="13"/>
  <c r="AN37" i="13"/>
  <c r="AH37" i="13"/>
  <c r="AY37" i="13"/>
  <c r="BH37" i="13"/>
  <c r="AU71" i="13"/>
  <c r="U37" i="13"/>
  <c r="AM37" i="13"/>
  <c r="L37" i="13"/>
  <c r="AA37" i="13"/>
  <c r="G37" i="13"/>
  <c r="AD37" i="13"/>
  <c r="AB37" i="13"/>
  <c r="AH71" i="13"/>
  <c r="AG71" i="13"/>
  <c r="BD37" i="13"/>
  <c r="V37" i="13"/>
  <c r="M37" i="13"/>
  <c r="BB37" i="13"/>
  <c r="AR37" i="13"/>
  <c r="Z37" i="13"/>
  <c r="AF71" i="13"/>
  <c r="AY71" i="13"/>
  <c r="W37" i="13"/>
  <c r="AP37" i="13"/>
  <c r="F37" i="13"/>
  <c r="AC37" i="13"/>
  <c r="S37" i="13"/>
  <c r="AS37" i="13"/>
  <c r="BG37" i="13"/>
  <c r="AX71" i="13"/>
  <c r="BG71" i="13"/>
  <c r="AW37" i="13"/>
  <c r="AG37" i="13"/>
  <c r="O37" i="13"/>
  <c r="AT37" i="13"/>
  <c r="P37" i="13"/>
  <c r="AU37" i="13"/>
  <c r="AO37" i="13"/>
  <c r="AW71" i="13"/>
  <c r="BD71" i="13"/>
  <c r="AO71" i="13"/>
  <c r="AA71" i="13"/>
  <c r="BE71" i="13"/>
  <c r="BH71" i="13"/>
  <c r="Q37" i="13"/>
  <c r="AI37" i="13"/>
  <c r="K37" i="13"/>
  <c r="AF37" i="13"/>
  <c r="N37" i="13"/>
  <c r="AZ37" i="13"/>
  <c r="BC37" i="13"/>
  <c r="AC71" i="13"/>
  <c r="AM71" i="13"/>
  <c r="AR71" i="13"/>
  <c r="AK71" i="13"/>
  <c r="AJ71" i="13"/>
  <c r="AV71" i="13"/>
  <c r="AB71" i="13"/>
  <c r="AD71" i="13"/>
  <c r="BF37" i="13"/>
  <c r="T37" i="13"/>
  <c r="H37" i="13"/>
  <c r="AV37" i="13"/>
  <c r="AQ37" i="13"/>
  <c r="AJ37" i="13"/>
  <c r="AE37" i="13"/>
  <c r="AZ71" i="13"/>
  <c r="AN71" i="13"/>
  <c r="AI71" i="13"/>
  <c r="AT71" i="13"/>
  <c r="BC71" i="13"/>
  <c r="AL71" i="13"/>
  <c r="BF71" i="13"/>
  <c r="BB71" i="13"/>
  <c r="AQ71" i="13"/>
  <c r="AE71" i="13"/>
  <c r="Z71" i="13"/>
  <c r="CO7" i="13"/>
  <c r="CE7" i="13"/>
  <c r="CH7" i="13"/>
  <c r="CB7" i="13"/>
  <c r="CC7" i="13"/>
  <c r="CP7" i="13"/>
  <c r="BW7" i="13"/>
  <c r="BX7" i="13"/>
  <c r="CI7" i="13"/>
  <c r="BZ7" i="13"/>
  <c r="CG7" i="13"/>
  <c r="CJ7" i="13"/>
  <c r="BY7" i="13"/>
  <c r="CF7" i="13"/>
  <c r="CK7" i="13"/>
  <c r="CA7" i="13"/>
  <c r="CD7" i="13"/>
  <c r="CL7" i="13"/>
  <c r="CN7" i="13"/>
  <c r="CM7" i="13"/>
  <c r="D38" i="13"/>
  <c r="C38" i="13"/>
  <c r="E38" i="13"/>
  <c r="L61" i="1"/>
  <c r="L62" i="1"/>
  <c r="L57" i="1"/>
  <c r="CT42" i="13"/>
  <c r="CO42" i="13"/>
  <c r="CV25" i="13"/>
  <c r="CI42" i="13"/>
  <c r="CN25" i="13"/>
  <c r="CR25" i="13"/>
  <c r="CN42" i="13"/>
  <c r="CJ42" i="13"/>
  <c r="CU42" i="13"/>
  <c r="CV42" i="13"/>
  <c r="CO25" i="13"/>
  <c r="CQ25" i="13"/>
  <c r="CH42" i="13"/>
  <c r="CM42" i="13"/>
  <c r="CK25" i="13"/>
  <c r="CJ25" i="13"/>
  <c r="CH25" i="13"/>
  <c r="CP42" i="13"/>
  <c r="CP59" i="13"/>
  <c r="CP45" i="13"/>
  <c r="CP62" i="13"/>
  <c r="CP52" i="13"/>
  <c r="CP69" i="13"/>
  <c r="CP72" i="13"/>
  <c r="CT59" i="13"/>
  <c r="CO59" i="13"/>
  <c r="CU25" i="13"/>
  <c r="CQ42" i="13"/>
  <c r="CQ59" i="13"/>
  <c r="CS42" i="13"/>
  <c r="CS59" i="13"/>
  <c r="CI59" i="13"/>
  <c r="CI25" i="13"/>
  <c r="CM25" i="13"/>
  <c r="CN59" i="13"/>
  <c r="CJ59" i="13"/>
  <c r="CU59" i="13"/>
  <c r="CV59" i="13"/>
  <c r="CL25" i="13"/>
  <c r="CP25" i="13"/>
  <c r="CL42" i="13"/>
  <c r="CL59" i="13"/>
  <c r="CL45" i="13"/>
  <c r="CL62" i="13"/>
  <c r="CL52" i="13"/>
  <c r="CL69" i="13"/>
  <c r="CL72" i="13"/>
  <c r="CK42" i="13"/>
  <c r="CK59" i="13"/>
  <c r="CK45" i="13"/>
  <c r="CK62" i="13"/>
  <c r="CK52" i="13"/>
  <c r="CK69" i="13"/>
  <c r="CK72" i="13"/>
  <c r="CR59" i="13"/>
  <c r="CM59" i="13"/>
  <c r="CT25" i="13"/>
  <c r="CS25" i="13"/>
  <c r="CD42" i="13"/>
  <c r="CB42" i="13"/>
  <c r="BV42" i="13"/>
  <c r="BQ42" i="13"/>
  <c r="BI42" i="13"/>
  <c r="BR42" i="13"/>
  <c r="BP42" i="13"/>
  <c r="BZ42" i="13"/>
  <c r="CC42" i="13"/>
  <c r="BK42" i="13"/>
  <c r="BW42" i="13"/>
  <c r="BJ42" i="13"/>
  <c r="BY42" i="13"/>
  <c r="BN42" i="13"/>
  <c r="BL42" i="13"/>
  <c r="CF42" i="13"/>
  <c r="BT42" i="13"/>
  <c r="BX42" i="13"/>
  <c r="CG42" i="13"/>
  <c r="CA42" i="13"/>
  <c r="BM42" i="13"/>
  <c r="CE42" i="13"/>
  <c r="BO42" i="13"/>
  <c r="BS42" i="13"/>
  <c r="CH59" i="13"/>
  <c r="AX13" i="13"/>
  <c r="BR13" i="13"/>
  <c r="BQ13" i="13"/>
  <c r="BH13" i="13"/>
  <c r="BL13" i="13"/>
  <c r="AW13" i="13"/>
  <c r="BV13" i="13"/>
  <c r="BU13" i="13"/>
  <c r="BO13" i="13"/>
  <c r="BB13" i="13"/>
  <c r="BA13" i="13"/>
  <c r="AV13" i="13"/>
  <c r="AY13" i="13"/>
  <c r="AZ13" i="13"/>
  <c r="BC13" i="13"/>
  <c r="BM13" i="13"/>
  <c r="BF13" i="13"/>
  <c r="BI13" i="13"/>
  <c r="BE13" i="13"/>
  <c r="BJ13" i="13"/>
  <c r="BS13" i="13"/>
  <c r="AS13" i="13"/>
  <c r="BN13" i="13"/>
  <c r="BT13" i="13"/>
  <c r="AU13" i="13"/>
  <c r="BK13" i="13"/>
  <c r="BP13" i="13"/>
  <c r="AT13" i="13"/>
  <c r="BD13" i="13"/>
  <c r="BG13" i="13"/>
  <c r="BB3" i="13"/>
  <c r="BF3" i="13"/>
  <c r="BI3" i="13"/>
  <c r="BH3" i="13"/>
  <c r="BG3" i="13"/>
  <c r="BP3" i="13"/>
  <c r="BV3" i="13"/>
  <c r="AY3" i="13"/>
  <c r="BR3" i="13"/>
  <c r="BU3" i="13"/>
  <c r="AU3" i="13"/>
  <c r="BO3" i="13"/>
  <c r="AV3" i="13"/>
  <c r="BN3" i="13"/>
  <c r="BE3" i="13"/>
  <c r="BM3" i="13"/>
  <c r="AZ3" i="13"/>
  <c r="BK3" i="13"/>
  <c r="BS3" i="13"/>
  <c r="BL3" i="13"/>
  <c r="AW3" i="13"/>
  <c r="AX3" i="13"/>
  <c r="AS3" i="13"/>
  <c r="AT3" i="13"/>
  <c r="BT3" i="13"/>
  <c r="BD3" i="13"/>
  <c r="BJ3" i="13"/>
  <c r="BQ3" i="13"/>
  <c r="BA3" i="13"/>
  <c r="BC3" i="13"/>
  <c r="CT45" i="13"/>
  <c r="CT62" i="13"/>
  <c r="CW62" i="13"/>
  <c r="CW72" i="13"/>
  <c r="DA28" i="13"/>
  <c r="DA38" i="13"/>
  <c r="CM45" i="13"/>
  <c r="CM62" i="13"/>
  <c r="CR62" i="13"/>
  <c r="CN45" i="13"/>
  <c r="CN62" i="13"/>
  <c r="CZ28" i="13"/>
  <c r="CZ38" i="13"/>
  <c r="CV45" i="13"/>
  <c r="CV62" i="13"/>
  <c r="CJ45" i="13"/>
  <c r="CJ62" i="13"/>
  <c r="CO45" i="13"/>
  <c r="CO62" i="13"/>
  <c r="CW28" i="13"/>
  <c r="CW38" i="13"/>
  <c r="CX28" i="13"/>
  <c r="CX38" i="13"/>
  <c r="CY62" i="13"/>
  <c r="CY72" i="13"/>
  <c r="CU45" i="13"/>
  <c r="CU62" i="13"/>
  <c r="CH45" i="13"/>
  <c r="DA62" i="13"/>
  <c r="DA72" i="13"/>
  <c r="CY28" i="13"/>
  <c r="CY38" i="13"/>
  <c r="CS45" i="13"/>
  <c r="CS62" i="13"/>
  <c r="CX62" i="13"/>
  <c r="CX72" i="13"/>
  <c r="CI45" i="13"/>
  <c r="CI62" i="13"/>
  <c r="CQ45" i="13"/>
  <c r="CQ62" i="13"/>
  <c r="CZ62" i="13"/>
  <c r="CZ72" i="13"/>
  <c r="V25" i="13"/>
  <c r="R25" i="13"/>
  <c r="Y25" i="13"/>
  <c r="T25" i="13"/>
  <c r="U25" i="13"/>
  <c r="I25" i="13"/>
  <c r="M25" i="13"/>
  <c r="AW25" i="13"/>
  <c r="AP25" i="13"/>
  <c r="AO25" i="13"/>
  <c r="BC25" i="13"/>
  <c r="AJ25" i="13"/>
  <c r="BF25" i="13"/>
  <c r="BH25" i="13"/>
  <c r="BG25" i="13"/>
  <c r="AD25" i="13"/>
  <c r="BE25" i="13"/>
  <c r="BA25" i="13"/>
  <c r="AZ25" i="13"/>
  <c r="AY25" i="13"/>
  <c r="AE25" i="13"/>
  <c r="AM25" i="13"/>
  <c r="BD25" i="13"/>
  <c r="AH25" i="13"/>
  <c r="Q25" i="13"/>
  <c r="L25" i="13"/>
  <c r="O25" i="13"/>
  <c r="G25" i="13"/>
  <c r="J25" i="13"/>
  <c r="X25" i="13"/>
  <c r="W25" i="13"/>
  <c r="P25" i="13"/>
  <c r="H25" i="13"/>
  <c r="K25" i="13"/>
  <c r="N25" i="13"/>
  <c r="AU25" i="13"/>
  <c r="AI25" i="13"/>
  <c r="AS25" i="13"/>
  <c r="AT25" i="13"/>
  <c r="AX25" i="13"/>
  <c r="AG25" i="13"/>
  <c r="AR25" i="13"/>
  <c r="AA25" i="13"/>
  <c r="BB25" i="13"/>
  <c r="AC25" i="13"/>
  <c r="AL25" i="13"/>
  <c r="AN25" i="13"/>
  <c r="Z25" i="13"/>
  <c r="AF25" i="13"/>
  <c r="AK25" i="13"/>
  <c r="AB25" i="13"/>
  <c r="AQ25" i="13"/>
  <c r="AV25" i="13"/>
  <c r="CJ13" i="13"/>
  <c r="CI13" i="13"/>
  <c r="CG13" i="13"/>
  <c r="CC13" i="13"/>
  <c r="CD13" i="13"/>
  <c r="CN13" i="13"/>
  <c r="CE13" i="13"/>
  <c r="CA13" i="13"/>
  <c r="BW13" i="13"/>
  <c r="CK13" i="13"/>
  <c r="CF13" i="13"/>
  <c r="CL13" i="13"/>
  <c r="BZ13" i="13"/>
  <c r="CP13" i="13"/>
  <c r="CB13" i="13"/>
  <c r="CH13" i="13"/>
  <c r="BX13" i="13"/>
  <c r="BY13" i="13"/>
  <c r="CM13" i="13"/>
  <c r="CO13" i="13"/>
  <c r="I61" i="1"/>
  <c r="B38" i="13"/>
  <c r="AL13" i="13"/>
  <c r="W13" i="13"/>
  <c r="W69" i="13"/>
  <c r="J13" i="13"/>
  <c r="J69" i="13"/>
  <c r="AG13" i="13"/>
  <c r="AP13" i="13"/>
  <c r="Z13" i="13"/>
  <c r="X13" i="13"/>
  <c r="X69" i="13"/>
  <c r="AA13" i="13"/>
  <c r="AF13" i="13"/>
  <c r="O13" i="13"/>
  <c r="O69" i="13"/>
  <c r="G13" i="13"/>
  <c r="G69" i="13"/>
  <c r="AD13" i="13"/>
  <c r="R13" i="13"/>
  <c r="R69" i="13"/>
  <c r="AR13" i="13"/>
  <c r="AN13" i="13"/>
  <c r="U13" i="13"/>
  <c r="U69" i="13"/>
  <c r="AQ13" i="13"/>
  <c r="AC13" i="13"/>
  <c r="Q13" i="13"/>
  <c r="Q69" i="13"/>
  <c r="F13" i="13"/>
  <c r="F69" i="13"/>
  <c r="S13" i="13"/>
  <c r="S69" i="13"/>
  <c r="AM13" i="13"/>
  <c r="Y13" i="13"/>
  <c r="Y69" i="13"/>
  <c r="H13" i="13"/>
  <c r="H69" i="13"/>
  <c r="L13" i="13"/>
  <c r="L69" i="13"/>
  <c r="AK13" i="13"/>
  <c r="AJ13" i="13"/>
  <c r="N13" i="13"/>
  <c r="N69" i="13"/>
  <c r="AO13" i="13"/>
  <c r="T13" i="13"/>
  <c r="T69" i="13"/>
  <c r="V13" i="13"/>
  <c r="V69" i="13"/>
  <c r="I13" i="13"/>
  <c r="I69" i="13"/>
  <c r="K13" i="13"/>
  <c r="K69" i="13"/>
  <c r="AE13" i="13"/>
  <c r="P13" i="13"/>
  <c r="P69" i="13"/>
  <c r="AI13" i="13"/>
  <c r="AH13" i="13"/>
  <c r="M13" i="13"/>
  <c r="M69" i="13"/>
  <c r="AB13" i="13"/>
  <c r="BI64" i="13"/>
  <c r="Z65" i="13"/>
  <c r="Z60" i="13"/>
  <c r="BI70" i="13"/>
  <c r="BI63" i="13"/>
  <c r="Z62" i="13"/>
  <c r="CB3" i="13"/>
  <c r="CP3" i="13"/>
  <c r="CN3" i="13"/>
  <c r="CI3" i="13"/>
  <c r="CK3" i="13"/>
  <c r="CC3" i="13"/>
  <c r="CM3" i="13"/>
  <c r="BY3" i="13"/>
  <c r="CJ3" i="13"/>
  <c r="BZ3" i="13"/>
  <c r="BX3" i="13"/>
  <c r="CA3" i="13"/>
  <c r="CH3" i="13"/>
  <c r="CF3" i="13"/>
  <c r="CD3" i="13"/>
  <c r="CG3" i="13"/>
  <c r="CE3" i="13"/>
  <c r="CO3" i="13"/>
  <c r="CL3" i="13"/>
  <c r="BW3" i="13"/>
  <c r="CB35" i="13"/>
  <c r="CC35" i="13"/>
  <c r="BS35" i="13"/>
  <c r="BW35" i="13"/>
  <c r="BQ35" i="13"/>
  <c r="BP35" i="13"/>
  <c r="BJ35" i="13"/>
  <c r="BK35" i="13"/>
  <c r="BL35" i="13"/>
  <c r="BR35" i="13"/>
  <c r="CD35" i="13"/>
  <c r="BO35" i="13"/>
  <c r="CF35" i="13"/>
  <c r="AQ52" i="13"/>
  <c r="AI52" i="13"/>
  <c r="AE52" i="13"/>
  <c r="AJ52" i="13"/>
  <c r="AK52" i="13"/>
  <c r="AR52" i="13"/>
  <c r="AO52" i="13"/>
  <c r="AV52" i="13"/>
  <c r="AL52" i="13"/>
  <c r="AH52" i="13"/>
  <c r="AU52" i="13"/>
  <c r="AF52" i="13"/>
  <c r="AT52" i="13"/>
  <c r="AY52" i="13"/>
  <c r="BI35" i="13"/>
  <c r="CE35" i="13"/>
  <c r="BY35" i="13"/>
  <c r="BZ35" i="13"/>
  <c r="BN35" i="13"/>
  <c r="BT35" i="13"/>
  <c r="BX35" i="13"/>
  <c r="CG35" i="13"/>
  <c r="BV35" i="13"/>
  <c r="CA35" i="13"/>
  <c r="BU35" i="13"/>
  <c r="BM35" i="13"/>
  <c r="Z52" i="13"/>
  <c r="AC52" i="13"/>
  <c r="BF52" i="13"/>
  <c r="BD52" i="13"/>
  <c r="BH52" i="13"/>
  <c r="AG52" i="13"/>
  <c r="BE52" i="13"/>
  <c r="AX52" i="13"/>
  <c r="BB52" i="13"/>
  <c r="AW52" i="13"/>
  <c r="BC52" i="13"/>
  <c r="AM52" i="13"/>
  <c r="AZ52" i="13"/>
  <c r="AP52" i="13"/>
  <c r="BA52" i="13"/>
  <c r="BG52" i="13"/>
  <c r="AS52" i="13"/>
  <c r="AA52" i="13"/>
  <c r="AB52" i="13"/>
  <c r="AN52" i="13"/>
  <c r="CG59" i="13"/>
  <c r="AX42" i="13"/>
  <c r="AX59" i="13"/>
  <c r="AX69" i="13"/>
  <c r="AX72" i="13"/>
  <c r="AH42" i="13"/>
  <c r="AH59" i="13"/>
  <c r="AH69" i="13"/>
  <c r="AH72" i="13"/>
  <c r="BV25" i="13"/>
  <c r="BV38" i="13"/>
  <c r="AB42" i="13"/>
  <c r="AB59" i="13"/>
  <c r="AB69" i="13"/>
  <c r="AB72" i="13"/>
  <c r="BD42" i="13"/>
  <c r="BD59" i="13"/>
  <c r="BD69" i="13"/>
  <c r="BD72" i="13"/>
  <c r="AI42" i="13"/>
  <c r="AI59" i="13"/>
  <c r="AI69" i="13"/>
  <c r="AI72" i="13"/>
  <c r="BL25" i="13"/>
  <c r="BL38" i="13"/>
  <c r="BO25" i="13"/>
  <c r="BO38" i="13"/>
  <c r="BX59" i="13"/>
  <c r="BS25" i="13"/>
  <c r="BS38" i="13"/>
  <c r="BU25" i="13"/>
  <c r="BU38" i="13"/>
  <c r="AU42" i="13"/>
  <c r="AU59" i="13"/>
  <c r="AU69" i="13"/>
  <c r="AU72" i="13"/>
  <c r="BH42" i="13"/>
  <c r="BH59" i="13"/>
  <c r="BH69" i="13"/>
  <c r="BH72" i="13"/>
  <c r="AK42" i="13"/>
  <c r="AK59" i="13"/>
  <c r="AK69" i="13"/>
  <c r="AK72" i="13"/>
  <c r="AT42" i="13"/>
  <c r="AT59" i="13"/>
  <c r="AT69" i="13"/>
  <c r="AT72" i="13"/>
  <c r="BY25" i="13"/>
  <c r="BY38" i="13"/>
  <c r="CA59" i="13"/>
  <c r="BM59" i="13"/>
  <c r="CE59" i="13"/>
  <c r="BO59" i="13"/>
  <c r="BS59" i="13"/>
  <c r="AJ42" i="13"/>
  <c r="AJ59" i="13"/>
  <c r="AJ69" i="13"/>
  <c r="AJ72" i="13"/>
  <c r="AE42" i="13"/>
  <c r="AE59" i="13"/>
  <c r="AE69" i="13"/>
  <c r="AE72" i="13"/>
  <c r="AC42" i="13"/>
  <c r="AC59" i="13"/>
  <c r="AC69" i="13"/>
  <c r="AC72" i="13"/>
  <c r="AO42" i="13"/>
  <c r="AO59" i="13"/>
  <c r="AO69" i="13"/>
  <c r="AO72" i="13"/>
  <c r="BT25" i="13"/>
  <c r="BT38" i="13"/>
  <c r="CG25" i="13"/>
  <c r="CG38" i="13"/>
  <c r="CB25" i="13"/>
  <c r="CB38" i="13"/>
  <c r="CE25" i="13"/>
  <c r="CE38" i="13"/>
  <c r="CF25" i="13"/>
  <c r="CF38" i="13"/>
  <c r="AZ42" i="13"/>
  <c r="AZ59" i="13"/>
  <c r="AZ69" i="13"/>
  <c r="AZ72" i="13"/>
  <c r="AA42" i="13"/>
  <c r="AA59" i="13"/>
  <c r="AA69" i="13"/>
  <c r="AA72" i="13"/>
  <c r="AQ42" i="13"/>
  <c r="AQ59" i="13"/>
  <c r="AQ69" i="13"/>
  <c r="AQ72" i="13"/>
  <c r="AW42" i="13"/>
  <c r="AW59" i="13"/>
  <c r="AW69" i="13"/>
  <c r="AW72" i="13"/>
  <c r="BE42" i="13"/>
  <c r="BE59" i="13"/>
  <c r="BE69" i="13"/>
  <c r="BE72" i="13"/>
  <c r="BX25" i="13"/>
  <c r="BX38" i="13"/>
  <c r="BU59" i="13"/>
  <c r="AM42" i="13"/>
  <c r="AM59" i="13"/>
  <c r="AM69" i="13"/>
  <c r="AM72" i="13"/>
  <c r="BB42" i="13"/>
  <c r="BB59" i="13"/>
  <c r="BB69" i="13"/>
  <c r="BB72" i="13"/>
  <c r="BC42" i="13"/>
  <c r="BC59" i="13"/>
  <c r="BC69" i="13"/>
  <c r="BC72" i="13"/>
  <c r="CA25" i="13"/>
  <c r="CA38" i="13"/>
  <c r="BI25" i="13"/>
  <c r="BI38" i="13"/>
  <c r="CD59" i="13"/>
  <c r="CB59" i="13"/>
  <c r="AP42" i="13"/>
  <c r="AP59" i="13"/>
  <c r="AP69" i="13"/>
  <c r="AP72" i="13"/>
  <c r="AR42" i="13"/>
  <c r="AR59" i="13"/>
  <c r="AR69" i="13"/>
  <c r="AR72" i="13"/>
  <c r="BQ25" i="13"/>
  <c r="BQ38" i="13"/>
  <c r="BW25" i="13"/>
  <c r="BW38" i="13"/>
  <c r="AF42" i="13"/>
  <c r="AF59" i="13"/>
  <c r="AF69" i="13"/>
  <c r="AF72" i="13"/>
  <c r="AY42" i="13"/>
  <c r="AY59" i="13"/>
  <c r="AY69" i="13"/>
  <c r="AY72" i="13"/>
  <c r="AD59" i="13"/>
  <c r="AD69" i="13"/>
  <c r="AD72" i="13"/>
  <c r="BZ25" i="13"/>
  <c r="BZ38" i="13"/>
  <c r="BR25" i="13"/>
  <c r="BR38" i="13"/>
  <c r="BR59" i="13"/>
  <c r="BP59" i="13"/>
  <c r="BZ59" i="13"/>
  <c r="CC59" i="13"/>
  <c r="BK59" i="13"/>
  <c r="BW59" i="13"/>
  <c r="BN25" i="13"/>
  <c r="BN38" i="13"/>
  <c r="BJ25" i="13"/>
  <c r="BJ38" i="13"/>
  <c r="BV59" i="13"/>
  <c r="CC25" i="13"/>
  <c r="CC38" i="13"/>
  <c r="BA42" i="13"/>
  <c r="BA59" i="13"/>
  <c r="BA69" i="13"/>
  <c r="BA72" i="13"/>
  <c r="Z42" i="13"/>
  <c r="BF42" i="13"/>
  <c r="BF59" i="13"/>
  <c r="BF69" i="13"/>
  <c r="BF72" i="13"/>
  <c r="BG42" i="13"/>
  <c r="BG59" i="13"/>
  <c r="BG69" i="13"/>
  <c r="BG72" i="13"/>
  <c r="CD25" i="13"/>
  <c r="CD38" i="13"/>
  <c r="BK25" i="13"/>
  <c r="BK38" i="13"/>
  <c r="BP25" i="13"/>
  <c r="BP38" i="13"/>
  <c r="BJ59" i="13"/>
  <c r="BY59" i="13"/>
  <c r="BN59" i="13"/>
  <c r="BL59" i="13"/>
  <c r="CF59" i="13"/>
  <c r="BT59" i="13"/>
  <c r="BQ59" i="13"/>
  <c r="BI59" i="13"/>
  <c r="BM25" i="13"/>
  <c r="BM38" i="13"/>
  <c r="AN42" i="13"/>
  <c r="AN59" i="13"/>
  <c r="AN69" i="13"/>
  <c r="AN72" i="13"/>
  <c r="AV42" i="13"/>
  <c r="AV59" i="13"/>
  <c r="AV69" i="13"/>
  <c r="AV72" i="13"/>
  <c r="AL42" i="13"/>
  <c r="AL59" i="13"/>
  <c r="AL69" i="13"/>
  <c r="AL72" i="13"/>
  <c r="AS42" i="13"/>
  <c r="AS59" i="13"/>
  <c r="AS69" i="13"/>
  <c r="AS72" i="13"/>
  <c r="AG42" i="13"/>
  <c r="AG59" i="13"/>
  <c r="AG69" i="13"/>
  <c r="AG72" i="13"/>
  <c r="CV6" i="13"/>
  <c r="CS6" i="13"/>
  <c r="CZ6" i="13"/>
  <c r="CW6" i="13"/>
  <c r="DA6" i="13"/>
  <c r="CU6" i="13"/>
  <c r="CR6" i="13"/>
  <c r="CQ6" i="13"/>
  <c r="CX6" i="13"/>
  <c r="CT6" i="13"/>
  <c r="CY6" i="13"/>
  <c r="AP3" i="13"/>
  <c r="AI3" i="13"/>
  <c r="O3" i="13"/>
  <c r="O59" i="13"/>
  <c r="O72" i="13"/>
  <c r="K3" i="13"/>
  <c r="K59" i="13"/>
  <c r="K72" i="13"/>
  <c r="L3" i="13"/>
  <c r="L59" i="13"/>
  <c r="L72" i="13"/>
  <c r="AR3" i="13"/>
  <c r="S3" i="13"/>
  <c r="S59" i="13"/>
  <c r="S72" i="13"/>
  <c r="AA3" i="13"/>
  <c r="Z3" i="13"/>
  <c r="J3" i="13"/>
  <c r="J59" i="13"/>
  <c r="J72" i="13"/>
  <c r="W3" i="13"/>
  <c r="W59" i="13"/>
  <c r="W72" i="13"/>
  <c r="AK3" i="13"/>
  <c r="AG3" i="13"/>
  <c r="U3" i="13"/>
  <c r="U59" i="13"/>
  <c r="U72" i="13"/>
  <c r="H3" i="13"/>
  <c r="H59" i="13"/>
  <c r="H72" i="13"/>
  <c r="AO3" i="13"/>
  <c r="AJ3" i="13"/>
  <c r="V3" i="13"/>
  <c r="V59" i="13"/>
  <c r="V72" i="13"/>
  <c r="T3" i="13"/>
  <c r="T59" i="13"/>
  <c r="T72" i="13"/>
  <c r="AL3" i="13"/>
  <c r="F3" i="13"/>
  <c r="F59" i="13"/>
  <c r="F72" i="13"/>
  <c r="X3" i="13"/>
  <c r="X59" i="13"/>
  <c r="X72" i="13"/>
  <c r="I3" i="13"/>
  <c r="I59" i="13"/>
  <c r="I72" i="13"/>
  <c r="AH3" i="13"/>
  <c r="M3" i="13"/>
  <c r="M59" i="13"/>
  <c r="M72" i="13"/>
  <c r="AN3" i="13"/>
  <c r="N3" i="13"/>
  <c r="N59" i="13"/>
  <c r="N72" i="13"/>
  <c r="R3" i="13"/>
  <c r="R59" i="13"/>
  <c r="R72" i="13"/>
  <c r="Q3" i="13"/>
  <c r="Q59" i="13"/>
  <c r="Q72" i="13"/>
  <c r="P3" i="13"/>
  <c r="P59" i="13"/>
  <c r="P72" i="13"/>
  <c r="AF3" i="13"/>
  <c r="AE3" i="13"/>
  <c r="Y3" i="13"/>
  <c r="Y59" i="13"/>
  <c r="Y72" i="13"/>
  <c r="AC3" i="13"/>
  <c r="G3" i="13"/>
  <c r="G59" i="13"/>
  <c r="G72" i="13"/>
  <c r="AD3" i="13"/>
  <c r="AB3" i="13"/>
  <c r="AM3" i="13"/>
  <c r="AQ3" i="13"/>
  <c r="CM35" i="13"/>
  <c r="CP35" i="13"/>
  <c r="CR35" i="13"/>
  <c r="CK35" i="13"/>
  <c r="CM52" i="13"/>
  <c r="CS35" i="13"/>
  <c r="CQ35" i="13"/>
  <c r="CH35" i="13"/>
  <c r="CN35" i="13"/>
  <c r="BJ52" i="13"/>
  <c r="BJ69" i="13"/>
  <c r="CB52" i="13"/>
  <c r="CB69" i="13"/>
  <c r="CD52" i="13"/>
  <c r="CD69" i="13"/>
  <c r="BK52" i="13"/>
  <c r="BK69" i="13"/>
  <c r="BT52" i="13"/>
  <c r="BT69" i="13"/>
  <c r="CF52" i="13"/>
  <c r="CF69" i="13"/>
  <c r="BQ52" i="13"/>
  <c r="BQ69" i="13"/>
  <c r="CA52" i="13"/>
  <c r="CA69" i="13"/>
  <c r="BS52" i="13"/>
  <c r="BS69" i="13"/>
  <c r="BN52" i="13"/>
  <c r="BN69" i="13"/>
  <c r="BX52" i="13"/>
  <c r="BX69" i="13"/>
  <c r="BZ52" i="13"/>
  <c r="BZ69" i="13"/>
  <c r="BO52" i="13"/>
  <c r="BO69" i="13"/>
  <c r="BP52" i="13"/>
  <c r="BP69" i="13"/>
  <c r="BR52" i="13"/>
  <c r="BR69" i="13"/>
  <c r="CC52" i="13"/>
  <c r="CC69" i="13"/>
  <c r="BU69" i="13"/>
  <c r="BI52" i="13"/>
  <c r="BW52" i="13"/>
  <c r="BW69" i="13"/>
  <c r="BV52" i="13"/>
  <c r="BV69" i="13"/>
  <c r="BL52" i="13"/>
  <c r="BL69" i="13"/>
  <c r="BY52" i="13"/>
  <c r="BY69" i="13"/>
  <c r="CG52" i="13"/>
  <c r="CG69" i="13"/>
  <c r="CE52" i="13"/>
  <c r="CE69" i="13"/>
  <c r="BM52" i="13"/>
  <c r="BM69" i="13"/>
  <c r="CJ35" i="13"/>
  <c r="CT35" i="13"/>
  <c r="CT52" i="13"/>
  <c r="CT69" i="13"/>
  <c r="CJ52" i="13"/>
  <c r="CJ69" i="13"/>
  <c r="CV52" i="13"/>
  <c r="CV69" i="13"/>
  <c r="CO52" i="13"/>
  <c r="CO69" i="13"/>
  <c r="CI35" i="13"/>
  <c r="CV35" i="13"/>
  <c r="CI52" i="13"/>
  <c r="CI69" i="13"/>
  <c r="CM69" i="13"/>
  <c r="CO35" i="13"/>
  <c r="CN52" i="13"/>
  <c r="CN69" i="13"/>
  <c r="CH52" i="13"/>
  <c r="CQ52" i="13"/>
  <c r="CQ69" i="13"/>
  <c r="CS52" i="13"/>
  <c r="CS69" i="13"/>
  <c r="CU35" i="13"/>
  <c r="CL35" i="13"/>
  <c r="CR69" i="13"/>
  <c r="CU52" i="13"/>
  <c r="CU69" i="13"/>
  <c r="CH69" i="13"/>
  <c r="AD35" i="13"/>
  <c r="K35" i="13"/>
  <c r="BA35" i="13"/>
  <c r="AW35" i="13"/>
  <c r="BG35" i="13"/>
  <c r="AH35" i="13"/>
  <c r="AY35" i="13"/>
  <c r="L35" i="13"/>
  <c r="BF35" i="13"/>
  <c r="Z69" i="13"/>
  <c r="P35" i="13"/>
  <c r="BC35" i="13"/>
  <c r="H35" i="13"/>
  <c r="AA35" i="13"/>
  <c r="T35" i="13"/>
  <c r="BB35" i="13"/>
  <c r="W35" i="13"/>
  <c r="F35" i="13"/>
  <c r="AR35" i="13"/>
  <c r="AK35" i="13"/>
  <c r="AX35" i="13"/>
  <c r="AB35" i="13"/>
  <c r="AG35" i="13"/>
  <c r="I35" i="13"/>
  <c r="AP35" i="13"/>
  <c r="O35" i="13"/>
  <c r="AV35" i="13"/>
  <c r="AU35" i="13"/>
  <c r="AQ35" i="13"/>
  <c r="AS35" i="13"/>
  <c r="AC35" i="13"/>
  <c r="M35" i="13"/>
  <c r="AZ35" i="13"/>
  <c r="Z35" i="13"/>
  <c r="Q35" i="13"/>
  <c r="AT35" i="13"/>
  <c r="U35" i="13"/>
  <c r="AO35" i="13"/>
  <c r="AF35" i="13"/>
  <c r="BD35" i="13"/>
  <c r="AM35" i="13"/>
  <c r="V35" i="13"/>
  <c r="AJ35" i="13"/>
  <c r="AL35" i="13"/>
  <c r="S35" i="13"/>
  <c r="BH35" i="13"/>
  <c r="J35" i="13"/>
  <c r="X35" i="13"/>
  <c r="Y35" i="13"/>
  <c r="AI35" i="13"/>
  <c r="G35" i="13"/>
  <c r="AE35" i="13"/>
  <c r="N35" i="13"/>
  <c r="BE35" i="13"/>
  <c r="R35" i="13"/>
  <c r="AN35" i="13"/>
  <c r="CH64" i="13"/>
  <c r="BI60" i="13"/>
  <c r="Z64" i="13"/>
  <c r="BI67" i="13"/>
  <c r="Z66" i="13"/>
  <c r="BI61" i="13"/>
  <c r="CQ72" i="13"/>
  <c r="CS72" i="13"/>
  <c r="N16" i="13"/>
  <c r="G16" i="13"/>
  <c r="L16" i="13"/>
  <c r="Z16" i="13"/>
  <c r="AM16" i="13"/>
  <c r="M16" i="13"/>
  <c r="F16" i="13"/>
  <c r="AF16" i="13"/>
  <c r="U16" i="13"/>
  <c r="AA16" i="13"/>
  <c r="O16" i="13"/>
  <c r="AR16" i="13"/>
  <c r="Q16" i="13"/>
  <c r="S16" i="13"/>
  <c r="AK16" i="13"/>
  <c r="W16" i="13"/>
  <c r="P16" i="13"/>
  <c r="H16" i="13"/>
  <c r="K16" i="13"/>
  <c r="BC19" i="13"/>
  <c r="AY19" i="13"/>
  <c r="AX19" i="13"/>
  <c r="AU19" i="13"/>
  <c r="BG19" i="13"/>
  <c r="BF19" i="13"/>
  <c r="AQ19" i="13"/>
  <c r="AB19" i="13"/>
  <c r="AF19" i="13"/>
  <c r="AI19" i="13"/>
  <c r="AH19" i="13"/>
  <c r="AG19" i="13"/>
  <c r="AR19" i="13"/>
  <c r="AA19" i="13"/>
  <c r="BA19" i="13"/>
  <c r="AM19" i="13"/>
  <c r="AJ19" i="13"/>
  <c r="Z19" i="13"/>
  <c r="AQ16" i="13"/>
  <c r="R16" i="13"/>
  <c r="AC16" i="13"/>
  <c r="AJ16" i="13"/>
  <c r="AL16" i="13"/>
  <c r="AD16" i="13"/>
  <c r="X16" i="13"/>
  <c r="I16" i="13"/>
  <c r="V16" i="13"/>
  <c r="J16" i="13"/>
  <c r="AO16" i="13"/>
  <c r="AP16" i="13"/>
  <c r="AI16" i="13"/>
  <c r="T16" i="13"/>
  <c r="AG16" i="13"/>
  <c r="AB16" i="13"/>
  <c r="AH16" i="13"/>
  <c r="AN16" i="13"/>
  <c r="Y16" i="13"/>
  <c r="AE19" i="13"/>
  <c r="AD19" i="13"/>
  <c r="AW19" i="13"/>
  <c r="AT19" i="13"/>
  <c r="AP19" i="13"/>
  <c r="AO19" i="13"/>
  <c r="BE19" i="13"/>
  <c r="AN19" i="13"/>
  <c r="AC19" i="13"/>
  <c r="AZ19" i="13"/>
  <c r="AL19" i="13"/>
  <c r="AS19" i="13"/>
  <c r="BD19" i="13"/>
  <c r="BB19" i="13"/>
  <c r="AK19" i="13"/>
  <c r="AV19" i="13"/>
  <c r="M21" i="1"/>
  <c r="L23" i="1"/>
  <c r="L58" i="1"/>
  <c r="L64" i="1"/>
  <c r="M22" i="7"/>
  <c r="Y22" i="7"/>
  <c r="H86" i="9"/>
  <c r="H75" i="9"/>
  <c r="BT72" i="13"/>
  <c r="BL72" i="13"/>
  <c r="BY72" i="13"/>
  <c r="BV72" i="13"/>
  <c r="BK72" i="13"/>
  <c r="BZ72" i="13"/>
  <c r="BR72" i="13"/>
  <c r="CB72" i="13"/>
  <c r="BO72" i="13"/>
  <c r="BM72" i="13"/>
  <c r="CG72" i="13"/>
  <c r="BI69" i="13"/>
  <c r="BI72" i="13"/>
  <c r="AV38" i="13"/>
  <c r="AB38" i="13"/>
  <c r="AF38" i="13"/>
  <c r="AN38" i="13"/>
  <c r="AC38" i="13"/>
  <c r="AA38" i="13"/>
  <c r="AX38" i="13"/>
  <c r="AS38" i="13"/>
  <c r="AU38" i="13"/>
  <c r="K38" i="13"/>
  <c r="P38" i="13"/>
  <c r="X38" i="13"/>
  <c r="G38" i="13"/>
  <c r="L38" i="13"/>
  <c r="F38" i="13"/>
  <c r="BD38" i="13"/>
  <c r="AE38" i="13"/>
  <c r="BA38" i="13"/>
  <c r="AD38" i="13"/>
  <c r="BH38" i="13"/>
  <c r="BC38" i="13"/>
  <c r="AP38" i="13"/>
  <c r="M38" i="13"/>
  <c r="S38" i="13"/>
  <c r="T38" i="13"/>
  <c r="R38" i="13"/>
  <c r="AE110" i="13"/>
  <c r="AE111" i="13"/>
  <c r="CT38" i="13"/>
  <c r="CR72" i="13"/>
  <c r="CL38" i="13"/>
  <c r="CU72" i="13"/>
  <c r="CN72" i="13"/>
  <c r="CI38" i="13"/>
  <c r="CU38" i="13"/>
  <c r="CT72" i="13"/>
  <c r="CH38" i="13"/>
  <c r="CK38" i="13"/>
  <c r="CQ38" i="13"/>
  <c r="CR38" i="13"/>
  <c r="L23" i="8"/>
  <c r="CH62" i="13"/>
  <c r="H84" i="9"/>
  <c r="H80" i="9"/>
  <c r="H87" i="9"/>
  <c r="CY16" i="13"/>
  <c r="CR16" i="13"/>
  <c r="CT16" i="13"/>
  <c r="CV16" i="13"/>
  <c r="CZ16" i="13"/>
  <c r="CQ16" i="13"/>
  <c r="CW16" i="13"/>
  <c r="DA16" i="13"/>
  <c r="CX16" i="13"/>
  <c r="CU16" i="13"/>
  <c r="CS16" i="13"/>
  <c r="CA19" i="13"/>
  <c r="BK19" i="13"/>
  <c r="CF19" i="13"/>
  <c r="BR19" i="13"/>
  <c r="BQ19" i="13"/>
  <c r="BY19" i="13"/>
  <c r="BS19" i="13"/>
  <c r="CC19" i="13"/>
  <c r="BU19" i="13"/>
  <c r="BT19" i="13"/>
  <c r="BN19" i="13"/>
  <c r="BZ19" i="13"/>
  <c r="BA16" i="13"/>
  <c r="BV16" i="13"/>
  <c r="AV16" i="13"/>
  <c r="BD16" i="13"/>
  <c r="BB16" i="13"/>
  <c r="BI16" i="13"/>
  <c r="BM16" i="13"/>
  <c r="AX16" i="13"/>
  <c r="BO16" i="13"/>
  <c r="BL16" i="13"/>
  <c r="BU16" i="13"/>
  <c r="AT16" i="13"/>
  <c r="BT16" i="13"/>
  <c r="AS16" i="13"/>
  <c r="BC16" i="13"/>
  <c r="BM19" i="13"/>
  <c r="BO19" i="13"/>
  <c r="BJ19" i="13"/>
  <c r="BP19" i="13"/>
  <c r="BW19" i="13"/>
  <c r="BH19" i="13"/>
  <c r="CD19" i="13"/>
  <c r="CB19" i="13"/>
  <c r="CE19" i="13"/>
  <c r="BL19" i="13"/>
  <c r="BV19" i="13"/>
  <c r="BI19" i="13"/>
  <c r="BX19" i="13"/>
  <c r="AZ16" i="13"/>
  <c r="AW16" i="13"/>
  <c r="BE16" i="13"/>
  <c r="BP16" i="13"/>
  <c r="BG16" i="13"/>
  <c r="BN16" i="13"/>
  <c r="BQ16" i="13"/>
  <c r="AY16" i="13"/>
  <c r="AU16" i="13"/>
  <c r="BJ16" i="13"/>
  <c r="BF16" i="13"/>
  <c r="BK16" i="13"/>
  <c r="BH16" i="13"/>
  <c r="BR16" i="13"/>
  <c r="BS16" i="13"/>
  <c r="CI16" i="13"/>
  <c r="CC16" i="13"/>
  <c r="CL16" i="13"/>
  <c r="CG16" i="13"/>
  <c r="CE16" i="13"/>
  <c r="CO16" i="13"/>
  <c r="BZ16" i="13"/>
  <c r="CB16" i="13"/>
  <c r="CH16" i="13"/>
  <c r="CP16" i="13"/>
  <c r="CV19" i="13"/>
  <c r="CN19" i="13"/>
  <c r="CM19" i="13"/>
  <c r="CJ19" i="13"/>
  <c r="CH19" i="13"/>
  <c r="CP19" i="13"/>
  <c r="CQ19" i="13"/>
  <c r="CU19" i="13"/>
  <c r="CK16" i="13"/>
  <c r="CA16" i="13"/>
  <c r="CJ16" i="13"/>
  <c r="BX16" i="13"/>
  <c r="CD16" i="13"/>
  <c r="CM16" i="13"/>
  <c r="BW16" i="13"/>
  <c r="CN16" i="13"/>
  <c r="CF16" i="13"/>
  <c r="BY16" i="13"/>
  <c r="CR19" i="13"/>
  <c r="CI19" i="13"/>
  <c r="CO19" i="13"/>
  <c r="CT19" i="13"/>
  <c r="CK19" i="13"/>
  <c r="CS19" i="13"/>
  <c r="CL19" i="13"/>
  <c r="CG19" i="13"/>
  <c r="BQ72" i="13"/>
  <c r="CF72" i="13"/>
  <c r="BN72" i="13"/>
  <c r="BJ72" i="13"/>
  <c r="BW72" i="13"/>
  <c r="CC72" i="13"/>
  <c r="BP72" i="13"/>
  <c r="CD72" i="13"/>
  <c r="BU72" i="13"/>
  <c r="BS72" i="13"/>
  <c r="CE72" i="13"/>
  <c r="CA72" i="13"/>
  <c r="BX72" i="13"/>
  <c r="AQ38" i="13"/>
  <c r="AK38" i="13"/>
  <c r="Z38" i="13"/>
  <c r="AL38" i="13"/>
  <c r="BB38" i="13"/>
  <c r="AR38" i="13"/>
  <c r="AG38" i="13"/>
  <c r="AT38" i="13"/>
  <c r="AI38" i="13"/>
  <c r="N38" i="13"/>
  <c r="H38" i="13"/>
  <c r="W38" i="13"/>
  <c r="J38" i="13"/>
  <c r="O38" i="13"/>
  <c r="Q38" i="13"/>
  <c r="Z59" i="13"/>
  <c r="Z72" i="13"/>
  <c r="AH38" i="13"/>
  <c r="AM38" i="13"/>
  <c r="AY38" i="13"/>
  <c r="AZ38" i="13"/>
  <c r="BE38" i="13"/>
  <c r="BG38" i="13"/>
  <c r="BF38" i="13"/>
  <c r="AJ38" i="13"/>
  <c r="AO38" i="13"/>
  <c r="AW38" i="13"/>
  <c r="I38" i="13"/>
  <c r="U38" i="13"/>
  <c r="Y38" i="13"/>
  <c r="V38" i="13"/>
  <c r="CH72" i="13"/>
  <c r="CS38" i="13"/>
  <c r="CM72" i="13"/>
  <c r="CP38" i="13"/>
  <c r="CV72" i="13"/>
  <c r="CJ72" i="13"/>
  <c r="CM38" i="13"/>
  <c r="CI72" i="13"/>
  <c r="CO72" i="13"/>
  <c r="CJ38" i="13"/>
  <c r="CO38" i="13"/>
  <c r="CN38" i="13"/>
  <c r="CV38" i="13"/>
  <c r="L63" i="1"/>
  <c r="G80" i="9"/>
  <c r="J38" i="1"/>
  <c r="G82" i="9"/>
  <c r="J36" i="1"/>
  <c r="AC17" i="1"/>
  <c r="Y17" i="1"/>
  <c r="AG17" i="1"/>
  <c r="AE17" i="1"/>
  <c r="AA17" i="1"/>
  <c r="J51" i="1"/>
  <c r="J34" i="1"/>
  <c r="AE16" i="1"/>
  <c r="AG16" i="1"/>
  <c r="AA16" i="1"/>
  <c r="AC16" i="1"/>
  <c r="Y16" i="1"/>
  <c r="J35" i="1"/>
  <c r="AG18" i="1"/>
  <c r="AA18" i="1"/>
  <c r="Y18" i="1"/>
  <c r="AE18" i="1"/>
  <c r="AC18" i="1"/>
  <c r="Y7" i="1"/>
  <c r="G86" i="9"/>
  <c r="J39" i="1"/>
  <c r="AC14" i="1"/>
  <c r="AG14" i="1"/>
  <c r="AA14" i="1"/>
  <c r="Y14" i="1"/>
  <c r="AE14" i="1"/>
  <c r="AK14" i="1"/>
  <c r="Y10" i="1"/>
  <c r="J33" i="1"/>
  <c r="J50" i="1"/>
  <c r="J47" i="1"/>
  <c r="J29" i="1"/>
  <c r="Y8" i="1"/>
  <c r="J46" i="1"/>
  <c r="J49" i="1"/>
  <c r="AG15" i="1"/>
  <c r="AE15" i="1"/>
  <c r="AC15" i="1"/>
  <c r="Y15" i="1"/>
  <c r="AA15" i="1"/>
  <c r="J44" i="1"/>
  <c r="G87" i="9"/>
  <c r="J43" i="1"/>
  <c r="G73" i="9"/>
  <c r="J40" i="1"/>
  <c r="J37" i="1"/>
  <c r="G85" i="9"/>
  <c r="J32" i="1"/>
  <c r="J41" i="1"/>
  <c r="G75" i="9"/>
  <c r="J48" i="1"/>
  <c r="AE21" i="1"/>
  <c r="AC21" i="1"/>
  <c r="AG21" i="1"/>
  <c r="Y21" i="1"/>
  <c r="AA21" i="1"/>
  <c r="Y9" i="1"/>
  <c r="Y20" i="1"/>
  <c r="AE20" i="1"/>
  <c r="AC20" i="1"/>
  <c r="AG20" i="1"/>
  <c r="AA20" i="1"/>
  <c r="AE19" i="1"/>
  <c r="AG19" i="1"/>
  <c r="AC19" i="1"/>
  <c r="AA19" i="1"/>
  <c r="Y19" i="1"/>
  <c r="G84" i="9"/>
  <c r="G81" i="9"/>
  <c r="J42" i="1"/>
  <c r="Y11" i="1"/>
  <c r="G78" i="9"/>
  <c r="J30" i="1"/>
  <c r="AG12" i="1"/>
  <c r="Y12" i="1"/>
  <c r="AE12" i="1"/>
  <c r="AK12" i="1"/>
  <c r="AA12" i="1"/>
  <c r="AC12" i="1"/>
  <c r="J45" i="1"/>
  <c r="AA13" i="1"/>
  <c r="Y13" i="1"/>
  <c r="AC13" i="1"/>
  <c r="AE13" i="1"/>
  <c r="AG13" i="1"/>
  <c r="AK13" i="1"/>
  <c r="J31" i="1"/>
  <c r="G77" i="9"/>
  <c r="M23" i="1"/>
  <c r="Y23" i="1"/>
  <c r="N23" i="1"/>
  <c r="F84" i="9"/>
  <c r="F86" i="9"/>
  <c r="M31" i="1"/>
  <c r="AG45" i="1"/>
  <c r="AA45" i="1"/>
  <c r="M45" i="1"/>
  <c r="AE45" i="1"/>
  <c r="AK45" i="1"/>
  <c r="AC45" i="1"/>
  <c r="M30" i="1"/>
  <c r="AA42" i="1"/>
  <c r="M42" i="1"/>
  <c r="AE42" i="1"/>
  <c r="AC42" i="1"/>
  <c r="AG42" i="1"/>
  <c r="AJ19" i="1"/>
  <c r="AI19" i="1"/>
  <c r="G83" i="9"/>
  <c r="AA48" i="1"/>
  <c r="AE48" i="1"/>
  <c r="M48" i="1"/>
  <c r="AG48" i="1"/>
  <c r="AC48" i="1"/>
  <c r="AE40" i="1"/>
  <c r="M40" i="1"/>
  <c r="AA40" i="1"/>
  <c r="AC40" i="1"/>
  <c r="AG40" i="1"/>
  <c r="M43" i="1"/>
  <c r="AG43" i="1"/>
  <c r="AA43" i="1"/>
  <c r="AC43" i="1"/>
  <c r="AE43" i="1"/>
  <c r="AK43" i="1"/>
  <c r="AJ15" i="1"/>
  <c r="AI15" i="1"/>
  <c r="I87" i="9"/>
  <c r="AE49" i="1"/>
  <c r="M49" i="1"/>
  <c r="AG49" i="1"/>
  <c r="AC49" i="1"/>
  <c r="AA49" i="1"/>
  <c r="AE6" i="1"/>
  <c r="AA6" i="1"/>
  <c r="AA8" i="1"/>
  <c r="AC6" i="1"/>
  <c r="AA9" i="1"/>
  <c r="AA10" i="1"/>
  <c r="AA11" i="1"/>
  <c r="AC8" i="1"/>
  <c r="AC9" i="1"/>
  <c r="AC10" i="1"/>
  <c r="AC11" i="1"/>
  <c r="AE8" i="1"/>
  <c r="AE9" i="1"/>
  <c r="AE10" i="1"/>
  <c r="AE11" i="1"/>
  <c r="J57" i="1"/>
  <c r="AE57" i="1"/>
  <c r="AD8" i="1"/>
  <c r="AD31" i="1"/>
  <c r="AE31" i="1"/>
  <c r="AD9" i="1"/>
  <c r="AD32" i="1"/>
  <c r="AE32" i="1"/>
  <c r="AD11" i="1"/>
  <c r="AD33" i="1"/>
  <c r="AE33" i="1"/>
  <c r="AE34" i="1"/>
  <c r="AE35" i="1"/>
  <c r="AE36" i="1"/>
  <c r="AE37" i="1"/>
  <c r="AE38" i="1"/>
  <c r="AE39" i="1"/>
  <c r="AE41" i="1"/>
  <c r="AE44" i="1"/>
  <c r="AE46" i="1"/>
  <c r="AE47" i="1"/>
  <c r="AE50" i="1"/>
  <c r="AE51" i="1"/>
  <c r="AE29" i="1"/>
  <c r="AD29" i="1"/>
  <c r="AA57" i="1"/>
  <c r="Z8" i="1"/>
  <c r="Z31" i="1"/>
  <c r="AA31" i="1"/>
  <c r="Z9" i="1"/>
  <c r="Z32" i="1"/>
  <c r="AA32" i="1"/>
  <c r="Z11" i="1"/>
  <c r="Z33" i="1"/>
  <c r="AA33" i="1"/>
  <c r="AA34" i="1"/>
  <c r="AA35" i="1"/>
  <c r="AA36" i="1"/>
  <c r="AA37" i="1"/>
  <c r="AA38" i="1"/>
  <c r="AA39" i="1"/>
  <c r="AA41" i="1"/>
  <c r="AA44" i="1"/>
  <c r="AA46" i="1"/>
  <c r="AA47" i="1"/>
  <c r="AA50" i="1"/>
  <c r="AA51" i="1"/>
  <c r="AA29" i="1"/>
  <c r="Z29" i="1"/>
  <c r="J52" i="1"/>
  <c r="AC57" i="1"/>
  <c r="AB8" i="1"/>
  <c r="AB31" i="1"/>
  <c r="AC31" i="1"/>
  <c r="AB9" i="1"/>
  <c r="AB32" i="1"/>
  <c r="AC32" i="1"/>
  <c r="AB11" i="1"/>
  <c r="AB33" i="1"/>
  <c r="AC33" i="1"/>
  <c r="AC34" i="1"/>
  <c r="AC35" i="1"/>
  <c r="AC36" i="1"/>
  <c r="AC37" i="1"/>
  <c r="AC38" i="1"/>
  <c r="AC39" i="1"/>
  <c r="AC41" i="1"/>
  <c r="AC44" i="1"/>
  <c r="AC46" i="1"/>
  <c r="AC47" i="1"/>
  <c r="AC50" i="1"/>
  <c r="AC51" i="1"/>
  <c r="AA30" i="1"/>
  <c r="AC29" i="1"/>
  <c r="AB29" i="1"/>
  <c r="M29" i="1"/>
  <c r="AI14" i="1"/>
  <c r="AJ14" i="1"/>
  <c r="Z7" i="1"/>
  <c r="AB7" i="1"/>
  <c r="AD7" i="1"/>
  <c r="M35" i="1"/>
  <c r="AG35" i="1"/>
  <c r="AK35" i="1"/>
  <c r="AG34" i="1"/>
  <c r="M34" i="1"/>
  <c r="AI17" i="1"/>
  <c r="AJ17" i="1"/>
  <c r="AK20" i="1"/>
  <c r="G76" i="9"/>
  <c r="I75" i="9"/>
  <c r="I80" i="9"/>
  <c r="M22" i="1"/>
  <c r="Y22" i="1"/>
  <c r="F80" i="9"/>
  <c r="F87" i="9"/>
  <c r="F75" i="9"/>
  <c r="AI13" i="1"/>
  <c r="AJ13" i="1"/>
  <c r="AJ12" i="1"/>
  <c r="AI12" i="1"/>
  <c r="AJ20" i="1"/>
  <c r="AI20" i="1"/>
  <c r="AJ21" i="1"/>
  <c r="AI21" i="1"/>
  <c r="M41" i="1"/>
  <c r="AG41" i="1"/>
  <c r="AK41" i="1"/>
  <c r="M32" i="1"/>
  <c r="M37" i="1"/>
  <c r="AG37" i="1"/>
  <c r="AG44" i="1"/>
  <c r="M44" i="1"/>
  <c r="I86" i="9"/>
  <c r="I84" i="9"/>
  <c r="AG6" i="1"/>
  <c r="Y6" i="1"/>
  <c r="Y24" i="1"/>
  <c r="G74" i="9"/>
  <c r="AG46" i="1"/>
  <c r="AK46" i="1"/>
  <c r="M46" i="1"/>
  <c r="M101" i="1"/>
  <c r="M47" i="1"/>
  <c r="AG47" i="1"/>
  <c r="AK47" i="1"/>
  <c r="M50" i="1"/>
  <c r="AG50" i="1"/>
  <c r="M33" i="1"/>
  <c r="G72" i="9"/>
  <c r="AD10" i="1"/>
  <c r="AB10" i="1"/>
  <c r="Z10" i="1"/>
  <c r="AG39" i="1"/>
  <c r="M39" i="1"/>
  <c r="AI18" i="1"/>
  <c r="AJ18" i="1"/>
  <c r="AJ16" i="1"/>
  <c r="AI16" i="1"/>
  <c r="AG51" i="1"/>
  <c r="M51" i="1"/>
  <c r="AK51" i="1"/>
  <c r="AG36" i="1"/>
  <c r="AK36" i="1"/>
  <c r="M36" i="1"/>
  <c r="AG38" i="1"/>
  <c r="AK38" i="1"/>
  <c r="M38" i="1"/>
  <c r="AK19" i="1"/>
  <c r="AK21" i="1"/>
  <c r="AK15" i="1"/>
  <c r="AK18" i="1"/>
  <c r="AK16" i="1"/>
  <c r="G79" i="9"/>
  <c r="AK17" i="1"/>
  <c r="AI38" i="1"/>
  <c r="AJ38" i="1"/>
  <c r="AF10" i="1"/>
  <c r="AG10" i="1"/>
  <c r="AI50" i="1"/>
  <c r="AJ50" i="1"/>
  <c r="AI47" i="1"/>
  <c r="AJ47" i="1"/>
  <c r="AI6" i="1"/>
  <c r="AJ6" i="1"/>
  <c r="AJ44" i="1"/>
  <c r="AI44" i="1"/>
  <c r="AF11" i="1"/>
  <c r="AG11" i="1"/>
  <c r="AI34" i="1"/>
  <c r="AJ34" i="1"/>
  <c r="AI35" i="1"/>
  <c r="AJ35" i="1"/>
  <c r="AF7" i="1"/>
  <c r="AG7" i="1"/>
  <c r="AH7" i="1"/>
  <c r="AI43" i="1"/>
  <c r="AJ43" i="1"/>
  <c r="AI48" i="1"/>
  <c r="AJ48" i="1"/>
  <c r="AI42" i="1"/>
  <c r="AJ42" i="1"/>
  <c r="AK39" i="1"/>
  <c r="AK50" i="1"/>
  <c r="AK44" i="1"/>
  <c r="AK37" i="1"/>
  <c r="AK42" i="1"/>
  <c r="AI36" i="1"/>
  <c r="AJ36" i="1"/>
  <c r="AJ51" i="1"/>
  <c r="AI51" i="1"/>
  <c r="AJ39" i="1"/>
  <c r="AI39" i="1"/>
  <c r="J63" i="1"/>
  <c r="AI46" i="1"/>
  <c r="AJ46" i="1"/>
  <c r="AK6" i="1"/>
  <c r="AI37" i="1"/>
  <c r="AJ37" i="1"/>
  <c r="AI41" i="1"/>
  <c r="AJ41" i="1"/>
  <c r="J61" i="1"/>
  <c r="M61" i="1"/>
  <c r="AF29" i="1"/>
  <c r="AG29" i="1"/>
  <c r="AH29" i="1"/>
  <c r="AI49" i="1"/>
  <c r="AJ49" i="1"/>
  <c r="AI40" i="1"/>
  <c r="AJ40" i="1"/>
  <c r="AJ45" i="1"/>
  <c r="AI45" i="1"/>
  <c r="AK34" i="1"/>
  <c r="M52" i="1"/>
  <c r="AK49" i="1"/>
  <c r="AK40" i="1"/>
  <c r="AK48" i="1"/>
  <c r="J62" i="1"/>
  <c r="M62" i="1"/>
  <c r="AK7" i="1"/>
  <c r="AI7" i="1"/>
  <c r="AJ10" i="1"/>
  <c r="AK11" i="1"/>
  <c r="AH11" i="1"/>
  <c r="AH10" i="1"/>
  <c r="J64" i="1"/>
  <c r="M64" i="1"/>
  <c r="N26" i="1"/>
  <c r="J58" i="1"/>
  <c r="M58" i="1"/>
  <c r="AF33" i="1"/>
  <c r="AG33" i="1"/>
  <c r="AK33" i="1"/>
  <c r="AJ8" i="1"/>
  <c r="AJ9" i="1"/>
  <c r="AJ11" i="1"/>
  <c r="AI11" i="1"/>
  <c r="M57" i="1"/>
  <c r="M63" i="1"/>
  <c r="AG57" i="1"/>
  <c r="AK10" i="1"/>
  <c r="AI57" i="1"/>
  <c r="AJ57" i="1"/>
  <c r="AI10" i="1"/>
  <c r="AK57" i="1"/>
  <c r="AF9" i="1"/>
  <c r="AG9" i="1"/>
  <c r="AK9" i="1"/>
  <c r="AH9" i="1"/>
  <c r="AI33" i="1"/>
  <c r="AJ33" i="1"/>
  <c r="AI9" i="1"/>
  <c r="AH33" i="1"/>
  <c r="AF32" i="1"/>
  <c r="AG32" i="1"/>
  <c r="AF8" i="1"/>
  <c r="AG8" i="1"/>
  <c r="AF31" i="1"/>
  <c r="AH31" i="1"/>
  <c r="AG31" i="1"/>
  <c r="AK31" i="1"/>
  <c r="AK32" i="1"/>
  <c r="AH8" i="1"/>
  <c r="AJ31" i="1"/>
  <c r="AI31" i="1"/>
  <c r="AI8" i="1"/>
  <c r="AK8" i="1"/>
  <c r="AH32" i="1"/>
  <c r="AI32" i="1"/>
  <c r="AJ32" i="1"/>
  <c r="Z30" i="1"/>
  <c r="AA52" i="1"/>
  <c r="AC30" i="1"/>
  <c r="AB30" i="1"/>
  <c r="AC52" i="1"/>
  <c r="AC63" i="1"/>
  <c r="AA63" i="1"/>
  <c r="AE30" i="1"/>
  <c r="AI29" i="1"/>
  <c r="AJ30" i="1"/>
  <c r="AJ29" i="1"/>
  <c r="AJ52" i="1"/>
  <c r="AD30" i="1"/>
  <c r="AJ63" i="1"/>
  <c r="AK29" i="1"/>
  <c r="AE52" i="1"/>
  <c r="AE63" i="1"/>
  <c r="AF30" i="1"/>
  <c r="AG30" i="1"/>
  <c r="AH30" i="1"/>
  <c r="AG52" i="1"/>
  <c r="AI30" i="1"/>
  <c r="AI52" i="1"/>
  <c r="AK30" i="1"/>
  <c r="AK52" i="1"/>
  <c r="AG62" i="1"/>
  <c r="AG63" i="1"/>
  <c r="AA65" i="1"/>
  <c r="AA66" i="1"/>
  <c r="AA22" i="1"/>
  <c r="AK63" i="1"/>
  <c r="AI63" i="1"/>
  <c r="AA6" i="7"/>
  <c r="AA12" i="7"/>
  <c r="AA13" i="7"/>
  <c r="AA14" i="7"/>
  <c r="AA15" i="7"/>
  <c r="AA16" i="7"/>
  <c r="AA17" i="7"/>
  <c r="AA18" i="7"/>
  <c r="AA19" i="7"/>
  <c r="AA20" i="7"/>
  <c r="M21" i="7"/>
  <c r="AA21" i="7"/>
  <c r="Y8" i="7"/>
  <c r="AA8" i="7"/>
  <c r="Y9" i="7"/>
  <c r="AA9" i="7"/>
  <c r="Y10" i="7"/>
  <c r="AA10" i="7"/>
  <c r="Y11" i="7"/>
  <c r="AA11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6" i="7"/>
  <c r="J57" i="7"/>
  <c r="AA57" i="7"/>
  <c r="J31" i="7"/>
  <c r="Z8" i="7"/>
  <c r="Z31" i="7"/>
  <c r="AA31" i="7"/>
  <c r="J32" i="7"/>
  <c r="Z9" i="7"/>
  <c r="Z32" i="7"/>
  <c r="AA32" i="7"/>
  <c r="J33" i="7"/>
  <c r="Z11" i="7"/>
  <c r="Z33" i="7"/>
  <c r="AA33" i="7"/>
  <c r="J34" i="7"/>
  <c r="AA34" i="7"/>
  <c r="J35" i="7"/>
  <c r="AA35" i="7"/>
  <c r="J36" i="7"/>
  <c r="AA36" i="7"/>
  <c r="J37" i="7"/>
  <c r="AA37" i="7"/>
  <c r="J38" i="7"/>
  <c r="AA38" i="7"/>
  <c r="J39" i="7"/>
  <c r="AA39" i="7"/>
  <c r="J40" i="7"/>
  <c r="AA40" i="7"/>
  <c r="J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AA29" i="7"/>
  <c r="AA30" i="7"/>
  <c r="AA52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18" i="7"/>
  <c r="AC19" i="7"/>
  <c r="AC20" i="7"/>
  <c r="AC21" i="7"/>
  <c r="AC8" i="7"/>
  <c r="AB8" i="7"/>
  <c r="AE6" i="7"/>
  <c r="AE12" i="7"/>
  <c r="AE13" i="7"/>
  <c r="AE14" i="7"/>
  <c r="AE15" i="7"/>
  <c r="AE16" i="7"/>
  <c r="AE17" i="7"/>
  <c r="AE18" i="7"/>
  <c r="AE19" i="7"/>
  <c r="AE20" i="7"/>
  <c r="AE21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18" i="7"/>
  <c r="AG19" i="7"/>
  <c r="AG20" i="7"/>
  <c r="AG21" i="7"/>
  <c r="J29" i="7"/>
  <c r="Z29" i="7"/>
  <c r="AC57" i="7"/>
  <c r="AB31" i="7"/>
  <c r="AC31" i="7"/>
  <c r="AB32" i="7"/>
  <c r="AC32" i="7"/>
  <c r="AB33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29" i="7"/>
  <c r="AB29" i="7"/>
  <c r="AE57" i="7"/>
  <c r="AD31" i="7"/>
  <c r="AE31" i="7"/>
  <c r="AD32" i="7"/>
  <c r="AE32" i="7"/>
  <c r="AD33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29" i="7"/>
  <c r="AD29" i="7"/>
  <c r="AF29" i="7"/>
  <c r="AG29" i="7"/>
  <c r="J30" i="7"/>
  <c r="Z30" i="7"/>
  <c r="AC30" i="7"/>
  <c r="AB30" i="7"/>
  <c r="AE30" i="7"/>
  <c r="AD30" i="7"/>
  <c r="AF30" i="7"/>
  <c r="AG30" i="7"/>
  <c r="AF31" i="7"/>
  <c r="AG31" i="7"/>
  <c r="AF32" i="7"/>
  <c r="AG32" i="7"/>
  <c r="AF33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7" i="7"/>
  <c r="J112" i="7"/>
  <c r="J107" i="7"/>
  <c r="J108" i="7"/>
  <c r="J109" i="7"/>
  <c r="J111" i="7"/>
  <c r="J62" i="7"/>
  <c r="AA66" i="7"/>
  <c r="AA22" i="7"/>
  <c r="Z22" i="7"/>
  <c r="AA61" i="1"/>
  <c r="Z22" i="1"/>
  <c r="AA24" i="1"/>
  <c r="AA23" i="1"/>
  <c r="AA64" i="1"/>
  <c r="AC66" i="1"/>
  <c r="AA62" i="1"/>
  <c r="AC65" i="1"/>
  <c r="AC22" i="1"/>
  <c r="AA61" i="7"/>
  <c r="AC52" i="7"/>
  <c r="AC66" i="7"/>
  <c r="AC22" i="7"/>
  <c r="AB22" i="7"/>
  <c r="AC61" i="1"/>
  <c r="AB22" i="1"/>
  <c r="AC24" i="1"/>
  <c r="AC23" i="1"/>
  <c r="AJ22" i="1"/>
  <c r="AJ61" i="1"/>
  <c r="AJ62" i="1"/>
  <c r="AC62" i="1"/>
  <c r="AE66" i="1"/>
  <c r="AC64" i="1"/>
  <c r="AJ23" i="1"/>
  <c r="AJ24" i="1"/>
  <c r="AC61" i="7"/>
  <c r="AE52" i="7"/>
  <c r="AE66" i="7"/>
  <c r="AE22" i="7"/>
  <c r="AD22" i="7"/>
  <c r="AJ64" i="1"/>
  <c r="AE65" i="1"/>
  <c r="AE22" i="1"/>
  <c r="AE61" i="1"/>
  <c r="AD22" i="1"/>
  <c r="AE24" i="1"/>
  <c r="AE23" i="1"/>
  <c r="AG66" i="1"/>
  <c r="AG22" i="1"/>
  <c r="AE62" i="1"/>
  <c r="AG65" i="1"/>
  <c r="AE61" i="7"/>
  <c r="AG66" i="7"/>
  <c r="AG22" i="7"/>
  <c r="AF22" i="7"/>
  <c r="AH22" i="7"/>
  <c r="AE64" i="1"/>
  <c r="AG61" i="1"/>
  <c r="AF22" i="1"/>
  <c r="AH22" i="1"/>
  <c r="AG24" i="1"/>
  <c r="AG23" i="1"/>
  <c r="AK22" i="1"/>
  <c r="AI22" i="1"/>
  <c r="AG64" i="1"/>
  <c r="AK23" i="1"/>
  <c r="AK24" i="1"/>
  <c r="AI23" i="1"/>
  <c r="AI61" i="1"/>
  <c r="AI62" i="1"/>
  <c r="AK61" i="1"/>
  <c r="AK62" i="1"/>
  <c r="AK64" i="1"/>
  <c r="AI64" i="1"/>
  <c r="AA6" i="12"/>
  <c r="AA12" i="12"/>
  <c r="AA13" i="12"/>
  <c r="AA14" i="12"/>
  <c r="AA15" i="12"/>
  <c r="AA16" i="12"/>
  <c r="AA17" i="12"/>
  <c r="AA18" i="12"/>
  <c r="AA19" i="12"/>
  <c r="AA20" i="12"/>
  <c r="M21" i="12"/>
  <c r="AA21" i="12"/>
  <c r="Y8" i="12"/>
  <c r="AA8" i="12"/>
  <c r="Y9" i="12"/>
  <c r="AA9" i="12"/>
  <c r="Y10" i="12"/>
  <c r="AA10" i="12"/>
  <c r="Y11" i="12"/>
  <c r="AA11" i="12"/>
  <c r="AA57" i="12"/>
  <c r="J31" i="12"/>
  <c r="Z8" i="12"/>
  <c r="Z31" i="12"/>
  <c r="AA31" i="12"/>
  <c r="J32" i="12"/>
  <c r="Z9" i="12"/>
  <c r="Z32" i="12"/>
  <c r="AA32" i="12"/>
  <c r="J33" i="12"/>
  <c r="Z11" i="12"/>
  <c r="Z33" i="12"/>
  <c r="AA33" i="12"/>
  <c r="J34" i="12"/>
  <c r="AA34" i="12"/>
  <c r="J35" i="12"/>
  <c r="AA35" i="12"/>
  <c r="J36" i="12"/>
  <c r="AA36" i="12"/>
  <c r="J37" i="12"/>
  <c r="AA37" i="12"/>
  <c r="J38" i="12"/>
  <c r="AA38" i="12"/>
  <c r="J39" i="12"/>
  <c r="AA39" i="12"/>
  <c r="J40" i="12"/>
  <c r="AA40" i="12"/>
  <c r="J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AA29" i="12"/>
  <c r="AA30" i="12"/>
  <c r="AA52" i="12"/>
  <c r="AG6" i="12"/>
  <c r="Y7" i="12"/>
  <c r="Z7" i="12"/>
  <c r="AB7" i="12"/>
  <c r="AD7" i="12"/>
  <c r="AF7" i="12"/>
  <c r="AG7" i="12"/>
  <c r="AB8" i="12"/>
  <c r="AD8" i="12"/>
  <c r="AF8" i="12"/>
  <c r="AG8" i="12"/>
  <c r="AC6" i="12"/>
  <c r="AC12" i="12"/>
  <c r="AC13" i="12"/>
  <c r="AC14" i="12"/>
  <c r="AC15" i="12"/>
  <c r="AC16" i="12"/>
  <c r="AC17" i="12"/>
  <c r="AC18" i="12"/>
  <c r="AC19" i="12"/>
  <c r="AC20" i="12"/>
  <c r="AC21" i="12"/>
  <c r="AC9" i="12"/>
  <c r="AB9" i="12"/>
  <c r="AE6" i="12"/>
  <c r="AE12" i="12"/>
  <c r="AE13" i="12"/>
  <c r="AE14" i="12"/>
  <c r="AE15" i="12"/>
  <c r="AE16" i="12"/>
  <c r="AE17" i="12"/>
  <c r="AE18" i="12"/>
  <c r="AE19" i="12"/>
  <c r="AE20" i="12"/>
  <c r="AE21" i="12"/>
  <c r="AC8" i="12"/>
  <c r="AC10" i="12"/>
  <c r="AC11" i="12"/>
  <c r="AE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16" i="12"/>
  <c r="AG17" i="12"/>
  <c r="AG18" i="12"/>
  <c r="AG19" i="12"/>
  <c r="AG20" i="12"/>
  <c r="AG21" i="12"/>
  <c r="J29" i="12"/>
  <c r="Z29" i="12"/>
  <c r="AB29" i="12"/>
  <c r="AD29" i="12"/>
  <c r="AF29" i="12"/>
  <c r="AG29" i="12"/>
  <c r="J30" i="12"/>
  <c r="Z30" i="12"/>
  <c r="AB30" i="12"/>
  <c r="AD30" i="12"/>
  <c r="AF30" i="12"/>
  <c r="AG30" i="12"/>
  <c r="AB31" i="12"/>
  <c r="AD31" i="12"/>
  <c r="AF31" i="12"/>
  <c r="AG31" i="12"/>
  <c r="AB32" i="12"/>
  <c r="AD32" i="12"/>
  <c r="AF32" i="12"/>
  <c r="AG32" i="12"/>
  <c r="AB33" i="12"/>
  <c r="AD33" i="12"/>
  <c r="AF33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50" i="12"/>
  <c r="AG51" i="12"/>
  <c r="AG52" i="12"/>
  <c r="AG57" i="12"/>
  <c r="AA66" i="12"/>
  <c r="AA22" i="12"/>
  <c r="AA24" i="12"/>
  <c r="Y6" i="12"/>
  <c r="Y12" i="12"/>
  <c r="Y13" i="12"/>
  <c r="Y14" i="12"/>
  <c r="Y15" i="12"/>
  <c r="Y16" i="12"/>
  <c r="Y17" i="12"/>
  <c r="Y18" i="12"/>
  <c r="Y19" i="12"/>
  <c r="Y20" i="12"/>
  <c r="Y21" i="12"/>
  <c r="M22" i="12"/>
  <c r="Y22" i="12"/>
  <c r="M23" i="12"/>
  <c r="Y23" i="12"/>
  <c r="Y24" i="12"/>
  <c r="AA23" i="12"/>
  <c r="AA64" i="12"/>
  <c r="AA61" i="12"/>
  <c r="AC57" i="12"/>
  <c r="AC31" i="12"/>
  <c r="AC32" i="12"/>
  <c r="AC33" i="12"/>
  <c r="AC34" i="12"/>
  <c r="AC35" i="12"/>
  <c r="AC36" i="12"/>
  <c r="AC37" i="12"/>
  <c r="AC38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29" i="12"/>
  <c r="AC30" i="12"/>
  <c r="AC52" i="12"/>
  <c r="AC66" i="12"/>
  <c r="AC22" i="12"/>
  <c r="AC24" i="12"/>
  <c r="AC23" i="12"/>
  <c r="AC64" i="12"/>
  <c r="AE8" i="12"/>
  <c r="AE10" i="12"/>
  <c r="AE11" i="12"/>
  <c r="AC61" i="12"/>
  <c r="AE57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29" i="12"/>
  <c r="AE30" i="12"/>
  <c r="AE52" i="12"/>
  <c r="AE66" i="12"/>
  <c r="AE22" i="12"/>
  <c r="AE24" i="12"/>
  <c r="AE23" i="12"/>
  <c r="AE64" i="12"/>
  <c r="AE61" i="12"/>
  <c r="AG66" i="12"/>
  <c r="AG22" i="12"/>
  <c r="AG24" i="12"/>
  <c r="AG23" i="12"/>
  <c r="AG64" i="12"/>
  <c r="AI64" i="12"/>
  <c r="AK64" i="12"/>
  <c r="AK6" i="12"/>
  <c r="AK7" i="12"/>
  <c r="AK8" i="12"/>
  <c r="AK9" i="12"/>
  <c r="AK10" i="12"/>
  <c r="AK11" i="12"/>
  <c r="AK12" i="12"/>
  <c r="AK13" i="12"/>
  <c r="AK14" i="12"/>
  <c r="AK15" i="12"/>
  <c r="AK16" i="12"/>
  <c r="AK17" i="12"/>
  <c r="AK18" i="12"/>
  <c r="AK19" i="12"/>
  <c r="AK20" i="12"/>
  <c r="AK21" i="12"/>
  <c r="AK22" i="12"/>
  <c r="AK23" i="12"/>
  <c r="AK24" i="12"/>
  <c r="AA63" i="12"/>
  <c r="AC63" i="12"/>
  <c r="AE63" i="12"/>
  <c r="AG63" i="12"/>
  <c r="AI63" i="12"/>
  <c r="AI57" i="12"/>
  <c r="AG61" i="12"/>
  <c r="AI61" i="12"/>
  <c r="AI62" i="12"/>
  <c r="AJ63" i="12"/>
  <c r="AJ57" i="12"/>
  <c r="AJ61" i="12"/>
  <c r="AJ62" i="12"/>
  <c r="AK63" i="12"/>
  <c r="AK57" i="12"/>
  <c r="AK61" i="12"/>
  <c r="AK62" i="12"/>
  <c r="AI23" i="12"/>
  <c r="AI22" i="12"/>
  <c r="Z22" i="12"/>
  <c r="AB22" i="12"/>
  <c r="AD22" i="12"/>
  <c r="AF22" i="12"/>
  <c r="AH22" i="12"/>
  <c r="AA62" i="12"/>
  <c r="AC62" i="12"/>
  <c r="AE62" i="12"/>
  <c r="AG65" i="12"/>
  <c r="AE65" i="12"/>
  <c r="AJ64" i="12"/>
  <c r="AJ6" i="12"/>
  <c r="AJ8" i="12"/>
  <c r="AJ9" i="12"/>
  <c r="AJ10" i="12"/>
  <c r="AJ11" i="12"/>
  <c r="AJ12" i="12"/>
  <c r="AJ13" i="12"/>
  <c r="AJ14" i="12"/>
  <c r="AJ15" i="12"/>
  <c r="AJ16" i="12"/>
  <c r="AJ17" i="12"/>
  <c r="AJ18" i="12"/>
  <c r="AJ19" i="12"/>
  <c r="AJ20" i="12"/>
  <c r="AJ21" i="12"/>
  <c r="AJ22" i="12"/>
  <c r="AJ23" i="12"/>
  <c r="AJ24" i="12"/>
  <c r="AC65" i="12"/>
  <c r="AJ29" i="12"/>
  <c r="AJ30" i="12"/>
  <c r="AJ31" i="12"/>
  <c r="AJ32" i="12"/>
  <c r="AJ33" i="12"/>
  <c r="AJ34" i="12"/>
  <c r="AJ35" i="12"/>
  <c r="AJ36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52" i="12"/>
  <c r="AI29" i="12"/>
  <c r="AI30" i="12"/>
  <c r="AI31" i="12"/>
  <c r="AI32" i="12"/>
  <c r="AI33" i="12"/>
  <c r="AI34" i="12"/>
  <c r="AI35" i="12"/>
  <c r="AI36" i="12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52" i="12"/>
  <c r="AK29" i="12"/>
  <c r="AK30" i="12"/>
  <c r="AK31" i="12"/>
  <c r="AK32" i="12"/>
  <c r="AK33" i="12"/>
  <c r="AK34" i="12"/>
  <c r="AK35" i="12"/>
  <c r="AK36" i="12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52" i="12"/>
  <c r="AG62" i="12"/>
  <c r="AA65" i="12"/>
  <c r="AI9" i="12"/>
  <c r="AH9" i="12"/>
  <c r="AH32" i="12"/>
  <c r="AI11" i="12"/>
  <c r="AH33" i="12"/>
  <c r="AH11" i="12"/>
  <c r="AH10" i="12"/>
  <c r="AH30" i="12"/>
  <c r="AH7" i="12"/>
  <c r="AI10" i="12"/>
  <c r="AI8" i="12"/>
  <c r="AH31" i="12"/>
  <c r="AI7" i="12"/>
  <c r="AH8" i="12"/>
  <c r="N26" i="12"/>
  <c r="AI6" i="12"/>
  <c r="AH29" i="12"/>
  <c r="AI12" i="12"/>
  <c r="M101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J52" i="12"/>
  <c r="AI13" i="12"/>
  <c r="F72" i="9"/>
  <c r="AI17" i="12"/>
  <c r="N23" i="12"/>
  <c r="AI18" i="12"/>
  <c r="F83" i="9"/>
  <c r="F76" i="9"/>
  <c r="F79" i="9"/>
  <c r="AI19" i="12"/>
  <c r="AI16" i="12"/>
  <c r="F74" i="9"/>
  <c r="AI14" i="12"/>
  <c r="AI20" i="12"/>
  <c r="AI21" i="12"/>
  <c r="AI15" i="12"/>
  <c r="F77" i="9"/>
  <c r="F73" i="9"/>
  <c r="F78" i="9"/>
  <c r="F82" i="9"/>
  <c r="F85" i="9"/>
  <c r="F81" i="9"/>
  <c r="M100" i="12"/>
  <c r="M99" i="12"/>
  <c r="M98" i="12"/>
  <c r="M97" i="12"/>
  <c r="M96" i="12"/>
  <c r="M95" i="12"/>
  <c r="M93" i="12"/>
  <c r="M89" i="12"/>
  <c r="M92" i="12"/>
  <c r="M91" i="12"/>
  <c r="M90" i="12"/>
  <c r="M94" i="12"/>
  <c r="AE24" i="7"/>
  <c r="Y6" i="7"/>
  <c r="Y12" i="7"/>
  <c r="Y13" i="7"/>
  <c r="Y14" i="7"/>
  <c r="Y15" i="7"/>
  <c r="Y16" i="7"/>
  <c r="Y17" i="7"/>
  <c r="Y18" i="7"/>
  <c r="Y19" i="7"/>
  <c r="Y20" i="7"/>
  <c r="Y21" i="7"/>
  <c r="M23" i="7"/>
  <c r="Y23" i="7"/>
  <c r="Y24" i="7"/>
  <c r="AE23" i="7"/>
  <c r="AE64" i="7"/>
  <c r="AG24" i="7"/>
  <c r="AG23" i="7"/>
  <c r="AG64" i="7"/>
  <c r="AK64" i="7"/>
  <c r="AA24" i="7"/>
  <c r="AA23" i="7"/>
  <c r="AA64" i="7"/>
  <c r="AC24" i="7"/>
  <c r="AC23" i="7"/>
  <c r="AC64" i="7"/>
  <c r="AI64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A63" i="7"/>
  <c r="AC63" i="7"/>
  <c r="AE63" i="7"/>
  <c r="AG63" i="7"/>
  <c r="AI63" i="7"/>
  <c r="AI57" i="7"/>
  <c r="AG61" i="7"/>
  <c r="AI61" i="7"/>
  <c r="AI62" i="7"/>
  <c r="AJ63" i="7"/>
  <c r="AJ57" i="7"/>
  <c r="AJ61" i="7"/>
  <c r="AJ62" i="7"/>
  <c r="AK63" i="7"/>
  <c r="AK57" i="7"/>
  <c r="AK61" i="7"/>
  <c r="AK62" i="7"/>
  <c r="AI23" i="7"/>
  <c r="AI22" i="7"/>
  <c r="AA62" i="7"/>
  <c r="AC62" i="7"/>
  <c r="AE62" i="7"/>
  <c r="AG65" i="7"/>
  <c r="AJ64" i="7"/>
  <c r="AE65" i="7"/>
  <c r="AJ6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C65" i="7"/>
  <c r="AA65" i="7"/>
  <c r="AG62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H29" i="7"/>
  <c r="AH30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H31" i="7"/>
  <c r="AI8" i="7"/>
  <c r="AH8" i="7"/>
  <c r="AI10" i="7"/>
  <c r="AI9" i="7"/>
  <c r="AI11" i="7"/>
  <c r="AH33" i="7"/>
  <c r="AH32" i="7"/>
  <c r="AH10" i="7"/>
  <c r="AI7" i="7"/>
  <c r="AI6" i="7"/>
  <c r="AH9" i="7"/>
  <c r="AH11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AH7" i="7"/>
  <c r="J113" i="7"/>
  <c r="J64" i="7"/>
  <c r="M64" i="7"/>
  <c r="N26" i="7"/>
  <c r="H76" i="9"/>
  <c r="AI20" i="7"/>
  <c r="AI15" i="7"/>
  <c r="AI21" i="7"/>
  <c r="AI14" i="7"/>
  <c r="AI19" i="7"/>
  <c r="AI18" i="7"/>
  <c r="AI13" i="7"/>
  <c r="N23" i="7"/>
  <c r="H83" i="9"/>
  <c r="AI17" i="7"/>
  <c r="H72" i="9"/>
  <c r="J52" i="7"/>
  <c r="M101" i="7"/>
  <c r="AI12" i="7"/>
  <c r="AI16" i="7"/>
  <c r="H74" i="9"/>
  <c r="H82" i="9"/>
  <c r="H77" i="9"/>
  <c r="H79" i="9"/>
  <c r="H85" i="9"/>
  <c r="H81" i="9"/>
  <c r="H73" i="9"/>
  <c r="H78" i="9"/>
  <c r="M100" i="7"/>
  <c r="M99" i="7"/>
  <c r="M98" i="7"/>
  <c r="M97" i="7"/>
  <c r="M96" i="7"/>
  <c r="M95" i="7"/>
  <c r="M93" i="7"/>
  <c r="M89" i="7"/>
  <c r="M92" i="7"/>
  <c r="M91" i="7"/>
  <c r="M90" i="7"/>
  <c r="M94" i="7"/>
  <c r="J58" i="7"/>
  <c r="M58" i="7"/>
  <c r="J59" i="7"/>
  <c r="M59" i="7"/>
  <c r="J60" i="7"/>
  <c r="M60" i="7"/>
  <c r="M62" i="7"/>
  <c r="J63" i="7"/>
  <c r="M57" i="7"/>
  <c r="M63" i="7"/>
  <c r="I64" i="7"/>
  <c r="L113" i="7"/>
  <c r="L64" i="7"/>
  <c r="M106" i="7"/>
  <c r="M107" i="7"/>
  <c r="M108" i="7"/>
  <c r="M109" i="7"/>
  <c r="M111" i="7"/>
  <c r="M112" i="7"/>
  <c r="M113" i="7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10" i="8"/>
  <c r="J108" i="8"/>
  <c r="M108" i="8"/>
  <c r="J109" i="8"/>
  <c r="M109" i="8"/>
  <c r="M113" i="8"/>
  <c r="J112" i="8"/>
  <c r="M112" i="8"/>
  <c r="J106" i="8"/>
  <c r="J107" i="8"/>
  <c r="J111" i="8"/>
  <c r="M111" i="8"/>
  <c r="M110" i="8"/>
  <c r="M107" i="8"/>
  <c r="M106" i="8"/>
  <c r="M89" i="8"/>
  <c r="M90" i="8"/>
  <c r="M91" i="8"/>
  <c r="M92" i="8"/>
  <c r="M93" i="8"/>
  <c r="M94" i="8"/>
  <c r="M95" i="8"/>
  <c r="M96" i="8"/>
  <c r="M97" i="8"/>
  <c r="M98" i="8"/>
  <c r="M99" i="8"/>
  <c r="M100" i="8"/>
  <c r="I73" i="9"/>
  <c r="I82" i="9"/>
  <c r="I81" i="9"/>
  <c r="I78" i="9"/>
  <c r="I85" i="9"/>
  <c r="I77" i="9"/>
  <c r="M21" i="8"/>
  <c r="AA21" i="8"/>
  <c r="AC21" i="8"/>
  <c r="AE21" i="8"/>
  <c r="AG21" i="8"/>
  <c r="AI21" i="8"/>
  <c r="I74" i="9"/>
  <c r="AA13" i="8"/>
  <c r="AC13" i="8"/>
  <c r="AE13" i="8"/>
  <c r="AG13" i="8"/>
  <c r="AI13" i="8"/>
  <c r="AA20" i="8"/>
  <c r="AC20" i="8"/>
  <c r="AE20" i="8"/>
  <c r="AG20" i="8"/>
  <c r="AI20" i="8"/>
  <c r="AA18" i="8"/>
  <c r="AC18" i="8"/>
  <c r="AE18" i="8"/>
  <c r="AG18" i="8"/>
  <c r="AI18" i="8"/>
  <c r="AA17" i="8"/>
  <c r="AC17" i="8"/>
  <c r="AE17" i="8"/>
  <c r="AG17" i="8"/>
  <c r="AI17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AA15" i="8"/>
  <c r="AC15" i="8"/>
  <c r="AE15" i="8"/>
  <c r="AG15" i="8"/>
  <c r="AI15" i="8"/>
  <c r="I79" i="9"/>
  <c r="AA19" i="8"/>
  <c r="AC19" i="8"/>
  <c r="AE19" i="8"/>
  <c r="AG19" i="8"/>
  <c r="AI19" i="8"/>
  <c r="AA16" i="8"/>
  <c r="AC16" i="8"/>
  <c r="AE16" i="8"/>
  <c r="AG16" i="8"/>
  <c r="AI16" i="8"/>
  <c r="I72" i="9"/>
  <c r="I83" i="9"/>
  <c r="AA14" i="8"/>
  <c r="AC14" i="8"/>
  <c r="AE14" i="8"/>
  <c r="AG14" i="8"/>
  <c r="AI14" i="8"/>
  <c r="AA12" i="8"/>
  <c r="AC12" i="8"/>
  <c r="AE12" i="8"/>
  <c r="AG12" i="8"/>
  <c r="AI12" i="8"/>
  <c r="M101" i="8"/>
  <c r="I76" i="9"/>
  <c r="J113" i="8"/>
  <c r="J64" i="8"/>
  <c r="M64" i="8"/>
  <c r="N26" i="8"/>
  <c r="M23" i="8"/>
  <c r="N23" i="8"/>
  <c r="Y11" i="8"/>
  <c r="AA6" i="8"/>
  <c r="AA11" i="8"/>
  <c r="Z11" i="8"/>
  <c r="AC6" i="8"/>
  <c r="Y7" i="8"/>
  <c r="Y8" i="8"/>
  <c r="AA8" i="8"/>
  <c r="Y9" i="8"/>
  <c r="AA9" i="8"/>
  <c r="Y10" i="8"/>
  <c r="AA10" i="8"/>
  <c r="AC11" i="8"/>
  <c r="AB11" i="8"/>
  <c r="AE6" i="8"/>
  <c r="AC8" i="8"/>
  <c r="AC9" i="8"/>
  <c r="AC10" i="8"/>
  <c r="AE11" i="8"/>
  <c r="AD11" i="8"/>
  <c r="AF11" i="8"/>
  <c r="AH11" i="8"/>
  <c r="Z10" i="8"/>
  <c r="AB10" i="8"/>
  <c r="AE10" i="8"/>
  <c r="AD10" i="8"/>
  <c r="AF10" i="8"/>
  <c r="AH10" i="8"/>
  <c r="AG6" i="8"/>
  <c r="AI6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Z9" i="8"/>
  <c r="AB9" i="8"/>
  <c r="AE9" i="8"/>
  <c r="AD9" i="8"/>
  <c r="AF9" i="8"/>
  <c r="AH9" i="8"/>
  <c r="Z32" i="8"/>
  <c r="AB32" i="8"/>
  <c r="AD32" i="8"/>
  <c r="AF32" i="8"/>
  <c r="AH32" i="8"/>
  <c r="Z7" i="8"/>
  <c r="AB7" i="8"/>
  <c r="AD7" i="8"/>
  <c r="AF7" i="8"/>
  <c r="AG7" i="8"/>
  <c r="AI7" i="8"/>
  <c r="AG9" i="8"/>
  <c r="AI9" i="8"/>
  <c r="AG11" i="8"/>
  <c r="AI11" i="8"/>
  <c r="AH7" i="8"/>
  <c r="Z33" i="8"/>
  <c r="AB33" i="8"/>
  <c r="AD33" i="8"/>
  <c r="AF33" i="8"/>
  <c r="AH33" i="8"/>
  <c r="AG10" i="8"/>
  <c r="AI10" i="8"/>
  <c r="Z8" i="8"/>
  <c r="Z31" i="8"/>
  <c r="AB8" i="8"/>
  <c r="AB31" i="8"/>
  <c r="AE8" i="8"/>
  <c r="AD8" i="8"/>
  <c r="AD31" i="8"/>
  <c r="AF31" i="8"/>
  <c r="AH31" i="8"/>
  <c r="AF8" i="8"/>
  <c r="AH8" i="8"/>
  <c r="AG8" i="8"/>
  <c r="AI8" i="8"/>
  <c r="J57" i="8"/>
  <c r="AA57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29" i="8"/>
  <c r="AC57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29" i="8"/>
  <c r="AJ29" i="8"/>
  <c r="AA30" i="8"/>
  <c r="AC30" i="8"/>
  <c r="AJ30" i="8"/>
  <c r="AJ31" i="8"/>
  <c r="AJ32" i="8"/>
  <c r="AJ33" i="8"/>
  <c r="AJ34" i="8"/>
  <c r="AJ35" i="8"/>
  <c r="AJ36" i="8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Z30" i="8"/>
  <c r="AB30" i="8"/>
  <c r="AE57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30" i="8"/>
  <c r="AD30" i="8"/>
  <c r="AF30" i="8"/>
  <c r="AH30" i="8"/>
  <c r="Z29" i="8"/>
  <c r="AB29" i="8"/>
  <c r="AE29" i="8"/>
  <c r="AD29" i="8"/>
  <c r="AF29" i="8"/>
  <c r="AH29" i="8"/>
  <c r="AG29" i="8"/>
  <c r="AK29" i="8"/>
  <c r="AG30" i="8"/>
  <c r="AK30" i="8"/>
  <c r="AG31" i="8"/>
  <c r="AK31" i="8"/>
  <c r="AG32" i="8"/>
  <c r="AK32" i="8"/>
  <c r="AG33" i="8"/>
  <c r="AK33" i="8"/>
  <c r="AG34" i="8"/>
  <c r="AK34" i="8"/>
  <c r="AG35" i="8"/>
  <c r="AK35" i="8"/>
  <c r="AG36" i="8"/>
  <c r="AK36" i="8"/>
  <c r="AG37" i="8"/>
  <c r="AK37" i="8"/>
  <c r="AG38" i="8"/>
  <c r="AK38" i="8"/>
  <c r="AG39" i="8"/>
  <c r="AK39" i="8"/>
  <c r="AG40" i="8"/>
  <c r="AK40" i="8"/>
  <c r="AG41" i="8"/>
  <c r="AK41" i="8"/>
  <c r="AG42" i="8"/>
  <c r="AK42" i="8"/>
  <c r="AG43" i="8"/>
  <c r="AK43" i="8"/>
  <c r="AG44" i="8"/>
  <c r="AK44" i="8"/>
  <c r="AG45" i="8"/>
  <c r="AK45" i="8"/>
  <c r="AG46" i="8"/>
  <c r="AK46" i="8"/>
  <c r="AG47" i="8"/>
  <c r="AK47" i="8"/>
  <c r="AG48" i="8"/>
  <c r="AK48" i="8"/>
  <c r="AG49" i="8"/>
  <c r="AK49" i="8"/>
  <c r="AG50" i="8"/>
  <c r="AK50" i="8"/>
  <c r="AG51" i="8"/>
  <c r="AK51" i="8"/>
  <c r="AK52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G52" i="8"/>
  <c r="AG57" i="8"/>
  <c r="J62" i="8"/>
  <c r="AA65" i="8"/>
  <c r="AG62" i="8"/>
  <c r="AA52" i="8"/>
  <c r="AA66" i="8"/>
  <c r="AA22" i="8"/>
  <c r="AA61" i="8"/>
  <c r="AA62" i="8"/>
  <c r="AC65" i="8"/>
  <c r="AJ6" i="8"/>
  <c r="AJ8" i="8"/>
  <c r="AJ9" i="8"/>
  <c r="AJ10" i="8"/>
  <c r="AJ11" i="8"/>
  <c r="AJ12" i="8"/>
  <c r="AJ13" i="8"/>
  <c r="AJ14" i="8"/>
  <c r="AJ15" i="8"/>
  <c r="AJ16" i="8"/>
  <c r="AJ17" i="8"/>
  <c r="AJ18" i="8"/>
  <c r="AJ19" i="8"/>
  <c r="AJ20" i="8"/>
  <c r="AJ21" i="8"/>
  <c r="AC52" i="8"/>
  <c r="AC66" i="8"/>
  <c r="AC22" i="8"/>
  <c r="AJ22" i="8"/>
  <c r="AA24" i="8"/>
  <c r="Y6" i="8"/>
  <c r="Y12" i="8"/>
  <c r="Y13" i="8"/>
  <c r="Y14" i="8"/>
  <c r="Y15" i="8"/>
  <c r="Y16" i="8"/>
  <c r="Y17" i="8"/>
  <c r="Y18" i="8"/>
  <c r="Y19" i="8"/>
  <c r="Y20" i="8"/>
  <c r="Y21" i="8"/>
  <c r="M22" i="8"/>
  <c r="Y22" i="8"/>
  <c r="Y23" i="8"/>
  <c r="Y24" i="8"/>
  <c r="AA23" i="8"/>
  <c r="AC24" i="8"/>
  <c r="AC23" i="8"/>
  <c r="AJ23" i="8"/>
  <c r="AJ24" i="8"/>
  <c r="AA64" i="8"/>
  <c r="AC64" i="8"/>
  <c r="AJ64" i="8"/>
  <c r="AC61" i="8"/>
  <c r="AC62" i="8"/>
  <c r="AE65" i="8"/>
  <c r="AE52" i="8"/>
  <c r="AE66" i="8"/>
  <c r="AE22" i="8"/>
  <c r="AE61" i="8"/>
  <c r="AE62" i="8"/>
  <c r="AG65" i="8"/>
  <c r="Z22" i="8"/>
  <c r="AB22" i="8"/>
  <c r="AD22" i="8"/>
  <c r="AG66" i="8"/>
  <c r="AG22" i="8"/>
  <c r="AF22" i="8"/>
  <c r="AH22" i="8"/>
  <c r="AI22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E24" i="8"/>
  <c r="AE23" i="8"/>
  <c r="AG24" i="8"/>
  <c r="AG23" i="8"/>
  <c r="AK23" i="8"/>
  <c r="AK24" i="8"/>
  <c r="AI23" i="8"/>
  <c r="AA63" i="8"/>
  <c r="AC63" i="8"/>
  <c r="AJ63" i="8"/>
  <c r="AJ57" i="8"/>
  <c r="AJ61" i="8"/>
  <c r="AJ62" i="8"/>
  <c r="AE63" i="8"/>
  <c r="AG63" i="8"/>
  <c r="AK63" i="8"/>
  <c r="AK57" i="8"/>
  <c r="AG61" i="8"/>
  <c r="AK61" i="8"/>
  <c r="AK62" i="8"/>
  <c r="AI63" i="8"/>
  <c r="AI57" i="8"/>
  <c r="AI61" i="8"/>
  <c r="AI62" i="8"/>
  <c r="AE64" i="8"/>
  <c r="AG64" i="8"/>
  <c r="AK64" i="8"/>
  <c r="AI64" i="8"/>
  <c r="J63" i="8"/>
  <c r="M57" i="8"/>
  <c r="J58" i="8"/>
  <c r="M58" i="8"/>
  <c r="J59" i="8"/>
  <c r="M59" i="8"/>
  <c r="J60" i="8"/>
  <c r="M60" i="8"/>
  <c r="J61" i="8"/>
  <c r="M61" i="8"/>
  <c r="M62" i="8"/>
  <c r="M63" i="8"/>
  <c r="I64" i="8"/>
  <c r="L113" i="8"/>
  <c r="L64" i="8"/>
</calcChain>
</file>

<file path=xl/comments1.xml><?xml version="1.0" encoding="utf-8"?>
<comments xmlns="http://schemas.openxmlformats.org/spreadsheetml/2006/main">
  <authors>
    <author>Mark Lawrence</author>
  </authors>
  <commentList>
    <comment ref="E22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<sst xmlns="http://schemas.openxmlformats.org/spreadsheetml/2006/main" count="806" uniqueCount="151">
  <si>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</si>
  <si>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</si>
  <si>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</si>
  <si>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</si>
  <si>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</si>
  <si>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</si>
  <si>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</si>
  <si>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</si>
  <si>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</si>
  <si>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</si>
  <si>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</si>
  <si>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</si>
  <si>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</si>
  <si>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</si>
  <si>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</si>
  <si>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</si>
  <si>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</si>
  <si>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</si>
  <si>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</si>
  <si>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</si>
  <si>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</si>
  <si>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</si>
  <si>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</si>
  <si>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</si>
  <si>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</si>
  <si>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</si>
  <si>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</si>
  <si>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</si>
  <si>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</si>
  <si>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</si>
  <si>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</si>
  <si>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</si>
  <si>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</si>
  <si>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</si>
  <si>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</si>
  <si>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</si>
  <si>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staple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</si>
  <si>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</si>
  <si>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</si>
  <si>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</si>
  <si>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</si>
  <si>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</si>
  <si>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</si>
  <si>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</si>
  <si>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</si>
  <si>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</si>
  <si>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</si>
  <si>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</si>
  <si>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</si>
  <si>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</si>
  <si>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</si>
  <si>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</si>
  <si>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</si>
  <si>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</si>
  <si>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</si>
  <si>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</si>
  <si>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</si>
  <si>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</si>
  <si>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</si>
  <si>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</si>
  <si>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</si>
  <si>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</si>
  <si>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</si>
  <si>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</si>
  <si>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</si>
  <si>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</si>
  <si>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</si>
  <si>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</si>
  <si>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</si>
  <si>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</si>
  <si>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</si>
  <si>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</si>
  <si>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</si>
  <si>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</si>
  <si>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</si>
  <si>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</si>
  <si>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</si>
  <si>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</si>
  <si>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</si>
  <si>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</si>
  <si>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</si>
  <si>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</si>
  <si>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</si>
  <si>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</si>
  <si>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</si>
  <si>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</si>
  <si>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</si>
  <si>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</si>
  <si>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</si>
  <si>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</si>
  <si>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</si>
  <si>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</si>
  <si>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</si>
  <si>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</si>
  <si>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</si>
  <si>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</si>
  <si>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</si>
  <si>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</si>
  <si>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</si>
  <si>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</si>
  <si>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</si>
  <si>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</si>
  <si>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</si>
  <si>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</si>
  <si>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</si>
  <si>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</si>
  <si>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</si>
  <si>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</si>
  <si>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</si>
  <si>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</si>
  <si>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</si>
  <si>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</si>
  <si>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</si>
  <si>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</si>
  <si>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</si>
  <si>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</si>
  <si>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</si>
  <si>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</si>
  <si>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</si>
  <si>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</si>
  <si>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</si>
  <si>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</si>
  <si>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</si>
  <si>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</si>
  <si>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</si>
  <si>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</si>
  <si>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</si>
  <si>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</si>
  <si>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</si>
  <si>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</si>
  <si>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</rPr>
      <t>J</t>
    </r>
    <r>
      <rPr>
        <sz val="10"/>
        <rFont val="Arial"/>
      </rPr>
      <t>/day</t>
    </r>
  </si>
  <si>
    <t>cost of 8800 kJ for season</t>
  </si>
  <si>
    <t>fpl non-staple food</t>
  </si>
  <si>
    <t>lbpl</t>
  </si>
  <si>
    <t>ubpl</t>
  </si>
  <si>
    <t>resilience</t>
  </si>
  <si>
    <t>Food Poverty line</t>
  </si>
  <si>
    <t>Lower Bound Poverty line</t>
  </si>
  <si>
    <t>Upper Bound Poverty line</t>
  </si>
  <si>
    <t>Resilience line</t>
  </si>
  <si>
    <t>Mo/pers</t>
  </si>
  <si>
    <t>staple food</t>
  </si>
  <si>
    <t>cost of FPL (100% staple &amp; non-staple)</t>
  </si>
  <si>
    <t>Nominal FPL</t>
  </si>
  <si>
    <t>Nominal LBPL</t>
  </si>
  <si>
    <t>Nominal UBPL</t>
  </si>
  <si>
    <t>Nominal RL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</si>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</sst>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28" x14ac:knownFonts="1">
    <font>
      <sz val="12"/>
      <name val="Arial"/>
      <family val="2"/>
    </font>
    <font>
      <sz val="8"/>
      <name val="Arial"/>
    </font>
    <font>
      <i/>
      <sz val="12"/>
      <name val="Arial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8"/>
      <color indexed="81"/>
      <name val="Tahoma"/>
      <family val="2"/>
    </font>
    <font>
      <sz val="9"/>
      <name val="Arial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3" tint="0.79998168889431442"/>
      <name val="Arial"/>
    </font>
    <font>
      <sz val="10"/>
      <color theme="5" tint="-0.249977111117893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4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</cellStyleXfs>
  <cellXfs count="26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17" xfId="0" applyFont="1" applyBorder="1" applyAlignment="1"/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2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2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3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0" fontId="7" fillId="0" borderId="0" xfId="0" quotePrefix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19" fillId="0" borderId="0" xfId="0" applyFont="1" applyAlignment="1"/>
    <xf numFmtId="9" fontId="19" fillId="0" borderId="0" xfId="6" applyNumberFormat="1" applyFont="1" applyAlignment="1"/>
    <xf numFmtId="3" fontId="19" fillId="0" borderId="0" xfId="0" applyNumberFormat="1" applyFont="1" applyAlignment="1"/>
    <xf numFmtId="1" fontId="19" fillId="0" borderId="0" xfId="0" applyNumberFormat="1" applyFont="1" applyAlignment="1"/>
    <xf numFmtId="1" fontId="19" fillId="0" borderId="0" xfId="6" applyNumberFormat="1" applyFont="1" applyAlignment="1"/>
    <xf numFmtId="165" fontId="19" fillId="0" borderId="0" xfId="0" applyNumberFormat="1" applyFont="1" applyAlignment="1"/>
    <xf numFmtId="9" fontId="19" fillId="0" borderId="0" xfId="0" applyNumberFormat="1" applyFont="1" applyAlignment="1"/>
    <xf numFmtId="165" fontId="19" fillId="0" borderId="0" xfId="6" applyNumberFormat="1" applyFont="1" applyAlignment="1"/>
    <xf numFmtId="164" fontId="19" fillId="0" borderId="0" xfId="6" applyNumberFormat="1" applyFont="1" applyAlignment="1"/>
    <xf numFmtId="2" fontId="19" fillId="0" borderId="0" xfId="0" applyNumberFormat="1" applyFont="1" applyAlignment="1"/>
    <xf numFmtId="0" fontId="19" fillId="0" borderId="0" xfId="0" applyFont="1" applyAlignment="1">
      <alignment textRotation="90"/>
    </xf>
    <xf numFmtId="169" fontId="19" fillId="0" borderId="0" xfId="0" applyNumberFormat="1" applyFont="1" applyAlignment="1"/>
    <xf numFmtId="0" fontId="19" fillId="10" borderId="0" xfId="0" applyFont="1" applyFill="1" applyAlignment="1">
      <alignment horizontal="right"/>
    </xf>
    <xf numFmtId="165" fontId="20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19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2" fontId="26" fillId="0" borderId="2" xfId="0" applyNumberFormat="1" applyFont="1" applyFill="1" applyBorder="1" applyAlignment="1" applyProtection="1"/>
    <xf numFmtId="2" fontId="26" fillId="0" borderId="3" xfId="0" applyNumberFormat="1" applyFont="1" applyFill="1" applyBorder="1" applyAlignment="1" applyProtection="1"/>
    <xf numFmtId="3" fontId="7" fillId="0" borderId="15" xfId="0" applyNumberFormat="1" applyFont="1" applyBorder="1" applyAlignment="1" applyProtection="1"/>
    <xf numFmtId="9" fontId="7" fillId="0" borderId="10" xfId="0" applyNumberFormat="1" applyFont="1" applyBorder="1" applyAlignment="1" applyProtection="1"/>
    <xf numFmtId="9" fontId="7" fillId="0" borderId="10" xfId="0" applyNumberFormat="1" applyFont="1" applyBorder="1" applyAlignment="1" applyProtection="1">
      <alignment horizontal="right"/>
    </xf>
    <xf numFmtId="4" fontId="7" fillId="0" borderId="23" xfId="1" applyFont="1" applyBorder="1" applyAlignment="1" applyProtection="1"/>
    <xf numFmtId="4" fontId="7" fillId="0" borderId="29" xfId="1" applyFont="1" applyBorder="1" applyAlignment="1" applyProtection="1"/>
    <xf numFmtId="0" fontId="0" fillId="0" borderId="22" xfId="0" applyBorder="1" applyAlignment="1" applyProtection="1">
      <alignment horizontal="center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0" borderId="0" xfId="6" applyNumberFormat="1" applyFont="1" applyAlignment="1" applyProtection="1"/>
    <xf numFmtId="3" fontId="8" fillId="0" borderId="0" xfId="1" applyNumberFormat="1" applyFont="1" applyAlignment="1" applyProtection="1"/>
    <xf numFmtId="3" fontId="7" fillId="0" borderId="0" xfId="1" applyNumberFormat="1" applyFont="1" applyAlignment="1" applyProtection="1"/>
    <xf numFmtId="9" fontId="7" fillId="0" borderId="10" xfId="6" applyNumberFormat="1" applyFont="1" applyBorder="1" applyAlignment="1" applyProtection="1"/>
    <xf numFmtId="38" fontId="7" fillId="0" borderId="0" xfId="0" applyNumberFormat="1" applyFont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169" fontId="7" fillId="0" borderId="15" xfId="0" applyNumberFormat="1" applyFont="1" applyFill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0" fontId="14" fillId="0" borderId="16" xfId="0" applyFont="1" applyBorder="1" applyAlignment="1">
      <alignment horizontal="left"/>
    </xf>
  </cellXfs>
  <cellStyles count="124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Normal" xfId="0" builtinId="0"/>
    <cellStyle name="Percent" xfId="6" builtinId="5"/>
    <cellStyle name="Total" xfId="7" builtinId="25" customBuiltin="1"/>
  </cellStyles>
  <dxfs count="352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23F95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0.0208592777085928</c:v>
                </c:pt>
                <c:pt idx="1">
                  <c:v>0.0208592777085928</c:v>
                </c:pt>
                <c:pt idx="2" formatCode="0.0%">
                  <c:v>0.0208592777085928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0.000940483603154836</c:v>
                </c:pt>
                <c:pt idx="1">
                  <c:v>0.000940483603154836</c:v>
                </c:pt>
                <c:pt idx="2" formatCode="0.0%">
                  <c:v>0.000940483603154836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0.248412020547945</c:v>
                </c:pt>
                <c:pt idx="1">
                  <c:v>0.248412020547945</c:v>
                </c:pt>
                <c:pt idx="2" formatCode="0.0%">
                  <c:v>0.248412020547945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0.0184660647571606</c:v>
                </c:pt>
                <c:pt idx="1">
                  <c:v>0.0184660647571606</c:v>
                </c:pt>
                <c:pt idx="2" formatCode="0.0%">
                  <c:v>0.0184660647571606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0.0736470112079701</c:v>
                </c:pt>
                <c:pt idx="1">
                  <c:v>0.0736470112079701</c:v>
                </c:pt>
                <c:pt idx="2" formatCode="0.0%">
                  <c:v>0.0736470112079701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0.00600871731008717</c:v>
                </c:pt>
                <c:pt idx="1">
                  <c:v>0.00600871731008717</c:v>
                </c:pt>
                <c:pt idx="2" formatCode="0.0%">
                  <c:v>0.00600871731008717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E46C0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0.04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Food aid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0.00258090410958904</c:v>
                </c:pt>
                <c:pt idx="1">
                  <c:v>0.00258090410958904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0.117504607721046</c:v>
                </c:pt>
                <c:pt idx="1">
                  <c:v>0.117504607721046</c:v>
                </c:pt>
                <c:pt idx="2" formatCode="0.0%">
                  <c:v>0.411789095988312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0.700124551681196</c:v>
                </c:pt>
                <c:pt idx="1">
                  <c:v>0.653530412141213</c:v>
                </c:pt>
                <c:pt idx="2" formatCode="0.0%">
                  <c:v>0.368420967523519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5020664"/>
        <c:axId val="1889557224"/>
      </c:barChart>
      <c:catAx>
        <c:axId val="179502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557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9557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020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Middle!$A$29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0.0661264365909096</c:v>
                </c:pt>
                <c:pt idx="1">
                  <c:v>0.0734003446159097</c:v>
                </c:pt>
                <c:pt idx="2">
                  <c:v>0.0734003446159097</c:v>
                </c:pt>
              </c:numCache>
            </c:numRef>
          </c:val>
        </c:ser>
        <c:ser>
          <c:idx val="1"/>
          <c:order val="1"/>
          <c:tx>
            <c:strRef>
              <c:f>Middle!$A$30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0.011755810949495</c:v>
                </c:pt>
                <c:pt idx="1">
                  <c:v>0.0128138339349496</c:v>
                </c:pt>
                <c:pt idx="2">
                  <c:v>0.0127138295426491</c:v>
                </c:pt>
              </c:numCache>
            </c:numRef>
          </c:val>
        </c:ser>
        <c:ser>
          <c:idx val="2"/>
          <c:order val="2"/>
          <c:tx>
            <c:strRef>
              <c:f>Middle!$A$31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Middle!$K$31:$M$31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Middle!$A$32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Middle!$K$32:$M$32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Middle!$A$33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Middle!$K$33:$M$33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Middle!$A$34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Middle!$K$34:$M$34</c:f>
              <c:numCache>
                <c:formatCode>0%</c:formatCode>
                <c:ptCount val="3"/>
                <c:pt idx="0">
                  <c:v>0.0055105363825758</c:v>
                </c:pt>
                <c:pt idx="1">
                  <c:v>0.00532152498465345</c:v>
                </c:pt>
                <c:pt idx="2">
                  <c:v>0.00532152498465345</c:v>
                </c:pt>
              </c:numCache>
            </c:numRef>
          </c:val>
        </c:ser>
        <c:ser>
          <c:idx val="6"/>
          <c:order val="6"/>
          <c:tx>
            <c:strRef>
              <c:f>Middle!$A$35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Middle!$K$35:$M$35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Middle!$A$36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Middle!$K$36:$M$36</c:f>
              <c:numCache>
                <c:formatCode>0%</c:formatCode>
                <c:ptCount val="3"/>
                <c:pt idx="0">
                  <c:v>0.586321071106065</c:v>
                </c:pt>
                <c:pt idx="1">
                  <c:v>0.62736354608349</c:v>
                </c:pt>
                <c:pt idx="2">
                  <c:v>0.62736354608349</c:v>
                </c:pt>
              </c:numCache>
            </c:numRef>
          </c:val>
        </c:ser>
        <c:ser>
          <c:idx val="8"/>
          <c:order val="8"/>
          <c:tx>
            <c:strRef>
              <c:f>Middle!$A$37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0.224242093861618</c:v>
                </c:pt>
                <c:pt idx="1">
                  <c:v>0.24666630324778</c:v>
                </c:pt>
                <c:pt idx="2">
                  <c:v>0.245126235606352</c:v>
                </c:pt>
              </c:numCache>
            </c:numRef>
          </c:val>
        </c:ser>
        <c:ser>
          <c:idx val="9"/>
          <c:order val="9"/>
          <c:tx>
            <c:strRef>
              <c:f>Middle!$A$38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0.0449659768818185</c:v>
                </c:pt>
                <c:pt idx="1">
                  <c:v>0.0472142757259095</c:v>
                </c:pt>
                <c:pt idx="2">
                  <c:v>0.0472142757259095</c:v>
                </c:pt>
              </c:numCache>
            </c:numRef>
          </c:val>
        </c:ser>
        <c:ser>
          <c:idx val="10"/>
          <c:order val="10"/>
          <c:tx>
            <c:strRef>
              <c:f>Middle!$A$39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0.0610780742275176</c:v>
                </c:pt>
                <c:pt idx="1">
                  <c:v>0.0677966623925445</c:v>
                </c:pt>
                <c:pt idx="2">
                  <c:v>0.0677966623925445</c:v>
                </c:pt>
              </c:numCache>
            </c:numRef>
          </c:val>
        </c:ser>
        <c:ser>
          <c:idx val="11"/>
          <c:order val="11"/>
          <c:tx>
            <c:strRef>
              <c:f>Middle!$A$40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Middle!$A$41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Middle!$A$42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Middle!$A$43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Middle!$A$44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Middle!$A$45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Middle!$A$46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Middle!$A$47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Middle!$A$48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Middle!$A$49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2291512"/>
        <c:axId val="1885939960"/>
      </c:barChart>
      <c:catAx>
        <c:axId val="1882291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5939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5939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2291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946587537092"/>
          <c:y val="0.706748287561616"/>
          <c:w val="0.718101123858034"/>
          <c:h val="0.2865855258946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Rich!$A$29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Rich!$K$29:$M$29</c:f>
              <c:numCache>
                <c:formatCode>0%</c:formatCode>
                <c:ptCount val="3"/>
                <c:pt idx="0">
                  <c:v>0.0352616662085178</c:v>
                </c:pt>
                <c:pt idx="1">
                  <c:v>0.0391404494914547</c:v>
                </c:pt>
                <c:pt idx="2">
                  <c:v>0.0391404494914547</c:v>
                </c:pt>
              </c:numCache>
            </c:numRef>
          </c:val>
        </c:ser>
        <c:ser>
          <c:idx val="1"/>
          <c:order val="1"/>
          <c:tx>
            <c:strRef>
              <c:f>Rich!$A$30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Rich!$K$30:$M$30</c:f>
              <c:numCache>
                <c:formatCode>0%</c:formatCode>
                <c:ptCount val="3"/>
                <c:pt idx="0">
                  <c:v>0.00940311098893807</c:v>
                </c:pt>
                <c:pt idx="1">
                  <c:v>0.0102493909779425</c:v>
                </c:pt>
                <c:pt idx="2">
                  <c:v>0.0102166464930376</c:v>
                </c:pt>
              </c:numCache>
            </c:numRef>
          </c:val>
        </c:ser>
        <c:ser>
          <c:idx val="2"/>
          <c:order val="2"/>
          <c:tx>
            <c:strRef>
              <c:f>Rich!$A$31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Rich!$K$31:$M$31</c:f>
              <c:numCache>
                <c:formatCode>0%</c:formatCode>
                <c:ptCount val="3"/>
                <c:pt idx="0">
                  <c:v>0.00705233324170355</c:v>
                </c:pt>
                <c:pt idx="1">
                  <c:v>0.00768704323345688</c:v>
                </c:pt>
                <c:pt idx="2">
                  <c:v>0.00768704323345687</c:v>
                </c:pt>
              </c:numCache>
            </c:numRef>
          </c:val>
        </c:ser>
        <c:ser>
          <c:idx val="3"/>
          <c:order val="3"/>
          <c:tx>
            <c:strRef>
              <c:f>Rich!$A$32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Rich!$K$32:$M$32</c:f>
              <c:numCache>
                <c:formatCode>0%</c:formatCode>
                <c:ptCount val="3"/>
                <c:pt idx="0">
                  <c:v>0.0105784998625553</c:v>
                </c:pt>
                <c:pt idx="1">
                  <c:v>0.0107900698598064</c:v>
                </c:pt>
                <c:pt idx="2">
                  <c:v>0.010881994744035</c:v>
                </c:pt>
              </c:numCache>
            </c:numRef>
          </c:val>
        </c:ser>
        <c:ser>
          <c:idx val="4"/>
          <c:order val="4"/>
          <c:tx>
            <c:strRef>
              <c:f>Rich!$A$33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Rich!$K$33:$M$33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Rich!$A$34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Rich!$K$34:$M$34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Rich!$A$35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Rich!$K$35:$M$35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Rich!$A$36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Rich!$K$36:$M$36</c:f>
              <c:numCache>
                <c:formatCode>0%</c:formatCode>
                <c:ptCount val="3"/>
                <c:pt idx="0">
                  <c:v>0.775756656587391</c:v>
                </c:pt>
                <c:pt idx="1">
                  <c:v>0.830059622548508</c:v>
                </c:pt>
                <c:pt idx="2">
                  <c:v>0.830059622548508</c:v>
                </c:pt>
              </c:numCache>
            </c:numRef>
          </c:val>
        </c:ser>
        <c:ser>
          <c:idx val="8"/>
          <c:order val="8"/>
          <c:tx>
            <c:strRef>
              <c:f>Rich!$A$37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Rich!$A$38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0.137520498213219</c:v>
                </c:pt>
                <c:pt idx="1">
                  <c:v>0.14439652312388</c:v>
                </c:pt>
                <c:pt idx="2">
                  <c:v>0.14439652312388</c:v>
                </c:pt>
              </c:numCache>
            </c:numRef>
          </c:val>
        </c:ser>
        <c:ser>
          <c:idx val="10"/>
          <c:order val="10"/>
          <c:tx>
            <c:strRef>
              <c:f>Rich!$A$39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0.0244272348976748</c:v>
                </c:pt>
                <c:pt idx="1">
                  <c:v>0.027114230736419</c:v>
                </c:pt>
                <c:pt idx="2">
                  <c:v>0.0271142307364191</c:v>
                </c:pt>
              </c:numCache>
            </c:numRef>
          </c:val>
        </c:ser>
        <c:ser>
          <c:idx val="11"/>
          <c:order val="11"/>
          <c:tx>
            <c:strRef>
              <c:f>Rich!$A$40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Rich!$A$41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Rich!$A$42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Rich!$A$43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Rich!$A$44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Rich!$A$45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Rich!$A$46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950984"/>
        <c:axId val="-2140960456"/>
      </c:barChart>
      <c:catAx>
        <c:axId val="-214095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960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960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950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V.Poor!$A$29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V.Poor!$K$31:$M$31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V.Poor!$A$32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V.Poor!$K$32:$M$32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V.Poor!$A$33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V.Poor!$K$33:$M$33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0.0203591246641388</c:v>
                </c:pt>
              </c:numCache>
            </c:numRef>
          </c:val>
        </c:ser>
        <c:ser>
          <c:idx val="5"/>
          <c:order val="5"/>
          <c:tx>
            <c:strRef>
              <c:f>V.Poor!$A$34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V.Poor!$K$34:$M$34</c:f>
              <c:numCache>
                <c:formatCode>0%</c:formatCode>
                <c:ptCount val="3"/>
                <c:pt idx="0">
                  <c:v>0.114520076235781</c:v>
                </c:pt>
                <c:pt idx="1">
                  <c:v>0.110592037620893</c:v>
                </c:pt>
                <c:pt idx="2">
                  <c:v>0.110592037620893</c:v>
                </c:pt>
              </c:numCache>
            </c:numRef>
          </c:val>
        </c:ser>
        <c:ser>
          <c:idx val="6"/>
          <c:order val="6"/>
          <c:tx>
            <c:strRef>
              <c:f>V.Poor!$A$35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V.Poor!$K$35:$M$35</c:f>
              <c:numCache>
                <c:formatCode>0%</c:formatCode>
                <c:ptCount val="3"/>
                <c:pt idx="0">
                  <c:v>0.134370222783316</c:v>
                </c:pt>
                <c:pt idx="1">
                  <c:v>0.147807245061648</c:v>
                </c:pt>
                <c:pt idx="2">
                  <c:v>0.147807245061648</c:v>
                </c:pt>
              </c:numCache>
            </c:numRef>
          </c:val>
        </c:ser>
        <c:ser>
          <c:idx val="7"/>
          <c:order val="7"/>
          <c:tx>
            <c:strRef>
              <c:f>V.Poor!$A$36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V.Poor!$K$36:$M$36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V.Poor!$A$37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0.171016647178766</c:v>
                </c:pt>
                <c:pt idx="1">
                  <c:v>0.188118311896642</c:v>
                </c:pt>
                <c:pt idx="2">
                  <c:v>0.225741974275971</c:v>
                </c:pt>
              </c:numCache>
            </c:numRef>
          </c:val>
        </c:ser>
        <c:ser>
          <c:idx val="9"/>
          <c:order val="9"/>
          <c:tx>
            <c:strRef>
              <c:f>V.Poor!$A$38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V.Poor!$A$39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0.580093053802137</c:v>
                </c:pt>
                <c:pt idx="1">
                  <c:v>0.643903289720373</c:v>
                </c:pt>
                <c:pt idx="2">
                  <c:v>0.643903289720373</c:v>
                </c:pt>
              </c:numCache>
            </c:numRef>
          </c:val>
        </c:ser>
        <c:ser>
          <c:idx val="11"/>
          <c:order val="11"/>
          <c:tx>
            <c:strRef>
              <c:f>V.Poor!$A$40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V.Poor!$A$41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V.Poor!$A$42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V.Poor!$A$43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V.Poor!$A$44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V.Poor!$A$45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V.Poor!$A$46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V.Poor!$A$47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V.Poor!$A$48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V.Poor!$A$49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7086120"/>
        <c:axId val="1797091256"/>
      </c:barChart>
      <c:catAx>
        <c:axId val="1797086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091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7091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086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ZANOC Unaffected Area</a:t>
            </a:r>
          </a:p>
        </c:rich>
      </c:tx>
      <c:layout>
        <c:manualLayout>
          <c:xMode val="edge"/>
          <c:yMode val="edge"/>
          <c:x val="0.388223790679015"/>
          <c:y val="0.03523035230352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5695429150194"/>
          <c:y val="0.0355557305336833"/>
          <c:w val="0.849529774929147"/>
          <c:h val="0.67505200218956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6350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344.9526948309526</c:v>
                </c:pt>
                <c:pt idx="1">
                  <c:v>2652.638755821375</c:v>
                </c:pt>
                <c:pt idx="2">
                  <c:v>4103.397922753278</c:v>
                </c:pt>
                <c:pt idx="3">
                  <c:v>3942.925922955967</c:v>
                </c:pt>
                <c:pt idx="4">
                  <c:v>344.9526948309526</c:v>
                </c:pt>
                <c:pt idx="5">
                  <c:v>2652.638755821375</c:v>
                </c:pt>
                <c:pt idx="6">
                  <c:v>4103.397922753278</c:v>
                </c:pt>
                <c:pt idx="7">
                  <c:v>3883.68035599077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6350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4838.4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4443.939869076613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6350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166.8722918702135</c:v>
                </c:pt>
                <c:pt idx="2">
                  <c:v>445.5157540642072</c:v>
                </c:pt>
                <c:pt idx="3">
                  <c:v>1349.261530714527</c:v>
                </c:pt>
                <c:pt idx="4">
                  <c:v>0.0</c:v>
                </c:pt>
                <c:pt idx="5">
                  <c:v>166.8722918702135</c:v>
                </c:pt>
                <c:pt idx="6">
                  <c:v>445.5157540642072</c:v>
                </c:pt>
                <c:pt idx="7">
                  <c:v>1349.261530714527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6350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4065.6</c:v>
                </c:pt>
                <c:pt idx="2">
                  <c:v>11872.0</c:v>
                </c:pt>
                <c:pt idx="3">
                  <c:v>23654.40000000001</c:v>
                </c:pt>
                <c:pt idx="4">
                  <c:v>0.0</c:v>
                </c:pt>
                <c:pt idx="5">
                  <c:v>4016.700000000001</c:v>
                </c:pt>
                <c:pt idx="6">
                  <c:v>11720.38911187257</c:v>
                </c:pt>
                <c:pt idx="7">
                  <c:v>23295.42795513284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6350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903.7146263948732</c:v>
                </c:pt>
                <c:pt idx="5">
                  <c:v>906.1910439914556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6350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9858.24</c:v>
                </c:pt>
                <c:pt idx="1">
                  <c:v>14464.8</c:v>
                </c:pt>
                <c:pt idx="2">
                  <c:v>840.0</c:v>
                </c:pt>
                <c:pt idx="3">
                  <c:v>0.0</c:v>
                </c:pt>
                <c:pt idx="4">
                  <c:v>9138.285000000001</c:v>
                </c:pt>
                <c:pt idx="5">
                  <c:v>13229.4675</c:v>
                </c:pt>
                <c:pt idx="6">
                  <c:v>724.275</c:v>
                </c:pt>
                <c:pt idx="7">
                  <c:v>0.0</c:v>
                </c:pt>
              </c:numCache>
            </c:numRef>
          </c:val>
        </c:ser>
        <c:ser>
          <c:idx val="4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6350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89376.00000000001</c:v>
                </c:pt>
                <c:pt idx="3">
                  <c:v>354816.0</c:v>
                </c:pt>
                <c:pt idx="4">
                  <c:v>0.0</c:v>
                </c:pt>
                <c:pt idx="5">
                  <c:v>0.0</c:v>
                </c:pt>
                <c:pt idx="6">
                  <c:v>85386.0</c:v>
                </c:pt>
                <c:pt idx="7">
                  <c:v>338976.0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6350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6350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6773.76</c:v>
                </c:pt>
                <c:pt idx="1">
                  <c:v>5644.8</c:v>
                </c:pt>
                <c:pt idx="2">
                  <c:v>34182.4</c:v>
                </c:pt>
                <c:pt idx="3">
                  <c:v>0.0</c:v>
                </c:pt>
                <c:pt idx="4">
                  <c:v>7983.36</c:v>
                </c:pt>
                <c:pt idx="5">
                  <c:v>6652.800000000002</c:v>
                </c:pt>
                <c:pt idx="6">
                  <c:v>33362.39232283759</c:v>
                </c:pt>
                <c:pt idx="7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6350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4032.0</c:v>
                </c:pt>
                <c:pt idx="2">
                  <c:v>6854.400000000001</c:v>
                </c:pt>
                <c:pt idx="3">
                  <c:v>62899.20000000001</c:v>
                </c:pt>
                <c:pt idx="4">
                  <c:v>0.0</c:v>
                </c:pt>
                <c:pt idx="5">
                  <c:v>3780.0</c:v>
                </c:pt>
                <c:pt idx="6">
                  <c:v>6426.0</c:v>
                </c:pt>
                <c:pt idx="7">
                  <c:v>58968.00000000001</c:v>
                </c:pt>
              </c:numCache>
            </c:numRef>
          </c:val>
        </c:ser>
        <c:ser>
          <c:idx val="9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6350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0.0</c:v>
                </c:pt>
                <c:pt idx="1">
                  <c:v>19.75624309392266</c:v>
                </c:pt>
                <c:pt idx="2">
                  <c:v>19.75624309392266</c:v>
                </c:pt>
                <c:pt idx="3">
                  <c:v>23.70749171270719</c:v>
                </c:pt>
                <c:pt idx="4">
                  <c:v>0.0</c:v>
                </c:pt>
                <c:pt idx="5">
                  <c:v>0.0</c:v>
                </c:pt>
                <c:pt idx="6">
                  <c:v>20.37298624660544</c:v>
                </c:pt>
                <c:pt idx="7">
                  <c:v>23.90946523645218</c:v>
                </c:pt>
              </c:numCache>
            </c:numRef>
          </c:val>
        </c:ser>
        <c:ser>
          <c:idx val="17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6350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6350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22976.77558849172</c:v>
                </c:pt>
                <c:pt idx="1">
                  <c:v>20817.06015693113</c:v>
                </c:pt>
                <c:pt idx="2">
                  <c:v>9310.451612903227</c:v>
                </c:pt>
                <c:pt idx="3">
                  <c:v>11172.54193548387</c:v>
                </c:pt>
                <c:pt idx="4">
                  <c:v>22771.62580645162</c:v>
                </c:pt>
                <c:pt idx="5">
                  <c:v>20631.1935483871</c:v>
                </c:pt>
                <c:pt idx="6">
                  <c:v>9227.322580645163</c:v>
                </c:pt>
                <c:pt idx="7">
                  <c:v>11072.7870967742</c:v>
                </c:pt>
              </c:numCache>
            </c:numRef>
          </c:val>
        </c:ser>
        <c:ser>
          <c:idx val="11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6350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6405880"/>
        <c:axId val="1796441464"/>
      </c:barChart>
      <c:lineChart>
        <c:grouping val="standard"/>
        <c:varyColors val="0"/>
        <c:ser>
          <c:idx val="13"/>
          <c:order val="14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21863.86968686116</c:v>
                </c:pt>
                <c:pt idx="1">
                  <c:v>21863.86968686116</c:v>
                </c:pt>
                <c:pt idx="2">
                  <c:v>21863.86968686116</c:v>
                </c:pt>
                <c:pt idx="3">
                  <c:v>21863.86968686116</c:v>
                </c:pt>
              </c:numCache>
            </c:numRef>
          </c:val>
          <c:smooth val="0"/>
        </c:ser>
        <c:ser>
          <c:idx val="14"/>
          <c:order val="15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35134.82598951601</c:v>
                </c:pt>
                <c:pt idx="1">
                  <c:v>35134.825989516</c:v>
                </c:pt>
                <c:pt idx="2">
                  <c:v>35134.825989516</c:v>
                </c:pt>
                <c:pt idx="3">
                  <c:v>35134.82598951601</c:v>
                </c:pt>
              </c:numCache>
            </c:numRef>
          </c:val>
          <c:smooth val="0"/>
        </c:ser>
        <c:ser>
          <c:idx val="18"/>
          <c:order val="16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val>
            <c:numRef>
              <c:f>Income!$B$91:$E$91</c:f>
              <c:numCache>
                <c:formatCode>#,##0</c:formatCode>
                <c:ptCount val="4"/>
                <c:pt idx="0">
                  <c:v>58769.0316336141</c:v>
                </c:pt>
                <c:pt idx="1">
                  <c:v>58769.03163361407</c:v>
                </c:pt>
                <c:pt idx="2">
                  <c:v>58769.03163361407</c:v>
                </c:pt>
                <c:pt idx="3">
                  <c:v>58769.03163361408</c:v>
                </c:pt>
              </c:numCache>
            </c:numRef>
          </c:val>
          <c:smooth val="0"/>
        </c:ser>
        <c:ser>
          <c:idx val="19"/>
          <c:order val="17"/>
          <c:tx>
            <c:strRef>
              <c:f>Income!$A$92</c:f>
              <c:strCache>
                <c:ptCount val="1"/>
                <c:pt idx="0">
                  <c:v>Resilience line</c:v>
                </c:pt>
              </c:strCache>
            </c:strRef>
          </c:tx>
          <c:spPr>
            <a:ln w="12700" cmpd="sng">
              <a:solidFill>
                <a:srgbClr val="008080"/>
              </a:solidFill>
            </a:ln>
          </c:spPr>
          <c:marker>
            <c:symbol val="none"/>
          </c:marker>
          <c:val>
            <c:numRef>
              <c:f>Income!$B$92:$E$92</c:f>
              <c:numCache>
                <c:formatCode>#,##0</c:formatCode>
                <c:ptCount val="4"/>
                <c:pt idx="0">
                  <c:v>59273.33705969923</c:v>
                </c:pt>
                <c:pt idx="1">
                  <c:v>61665.38036450845</c:v>
                </c:pt>
                <c:pt idx="2">
                  <c:v>85188.27535149763</c:v>
                </c:pt>
                <c:pt idx="3">
                  <c:v>127300.0500756701</c:v>
                </c:pt>
              </c:numCache>
            </c:numRef>
          </c:val>
          <c:smooth val="0"/>
        </c:ser>
        <c:ser>
          <c:idx val="15"/>
          <c:order val="18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21863.86968686116</c:v>
                </c:pt>
                <c:pt idx="5" formatCode="#,##0">
                  <c:v>21863.86968686116</c:v>
                </c:pt>
                <c:pt idx="6" formatCode="#,##0">
                  <c:v>21863.86968686116</c:v>
                </c:pt>
                <c:pt idx="7" formatCode="#,##0">
                  <c:v>21863.86968686116</c:v>
                </c:pt>
              </c:numCache>
            </c:numRef>
          </c:val>
          <c:smooth val="0"/>
        </c:ser>
        <c:ser>
          <c:idx val="16"/>
          <c:order val="19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34833.10968686116</c:v>
                </c:pt>
                <c:pt idx="5" formatCode="#,##0">
                  <c:v>34833.10968686116</c:v>
                </c:pt>
                <c:pt idx="6" formatCode="#,##0">
                  <c:v>34833.10968686116</c:v>
                </c:pt>
                <c:pt idx="7" formatCode="#,##0">
                  <c:v>34833.10968686116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val>
            <c:numRef>
              <c:f>Income!$B$95:$I$95</c:f>
              <c:numCache>
                <c:formatCode>General</c:formatCode>
                <c:ptCount val="8"/>
                <c:pt idx="4" formatCode="#,##0">
                  <c:v>57929.98968686117</c:v>
                </c:pt>
                <c:pt idx="5" formatCode="#,##0">
                  <c:v>57929.98968686117</c:v>
                </c:pt>
                <c:pt idx="6" formatCode="#,##0">
                  <c:v>57929.98968686117</c:v>
                </c:pt>
                <c:pt idx="7" formatCode="#,##0">
                  <c:v>57929.98968686117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Income!$A$96</c:f>
              <c:strCache>
                <c:ptCount val="1"/>
                <c:pt idx="0">
                  <c:v>Resilience line</c:v>
                </c:pt>
              </c:strCache>
            </c:strRef>
          </c:tx>
          <c:spPr>
            <a:ln w="12700" cmpd="sng">
              <a:solidFill>
                <a:srgbClr val="008080"/>
              </a:solidFill>
            </a:ln>
          </c:spPr>
          <c:marker>
            <c:symbol val="none"/>
          </c:marker>
          <c:val>
            <c:numRef>
              <c:f>Income!$B$96:$I$96</c:f>
              <c:numCache>
                <c:formatCode>General</c:formatCode>
                <c:ptCount val="8"/>
                <c:pt idx="4" formatCode="#,##0">
                  <c:v>58422.82968686116</c:v>
                </c:pt>
                <c:pt idx="5" formatCode="#,##0">
                  <c:v>60760.48968686117</c:v>
                </c:pt>
                <c:pt idx="6" formatCode="#,##0">
                  <c:v>83748.58968686115</c:v>
                </c:pt>
                <c:pt idx="7" formatCode="#,##0">
                  <c:v>124902.9496868612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405880"/>
        <c:axId val="1796441464"/>
      </c:lineChart>
      <c:catAx>
        <c:axId val="1796405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441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6441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251691077475419"/>
              <c:y val="0.08987858225038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405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8"/>
        <c:delete val="1"/>
      </c:legendEntry>
      <c:legendEntry>
        <c:idx val="19"/>
        <c:delete val="1"/>
      </c:legendEntry>
      <c:layout>
        <c:manualLayout>
          <c:xMode val="edge"/>
          <c:yMode val="edge"/>
          <c:x val="0.0276338514680484"/>
          <c:y val="0.742547852250176"/>
          <c:w val="0.958098812777936"/>
          <c:h val="0.25745214774982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Income!$B$72:$E$72</c:f>
              <c:numCache>
                <c:formatCode>#,##0</c:formatCode>
                <c:ptCount val="4"/>
                <c:pt idx="0">
                  <c:v>344.9526948309526</c:v>
                </c:pt>
                <c:pt idx="1">
                  <c:v>2652.638755821375</c:v>
                </c:pt>
                <c:pt idx="2">
                  <c:v>4103.397922753278</c:v>
                </c:pt>
                <c:pt idx="3">
                  <c:v>3942.925922955967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4838.4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166.8722918702135</c:v>
                </c:pt>
                <c:pt idx="2">
                  <c:v>445.5157540642072</c:v>
                </c:pt>
                <c:pt idx="3">
                  <c:v>1349.261530714527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4065.6</c:v>
                </c:pt>
                <c:pt idx="2">
                  <c:v>11872.0</c:v>
                </c:pt>
                <c:pt idx="3">
                  <c:v>23654.40000000001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9858.24</c:v>
                </c:pt>
                <c:pt idx="1">
                  <c:v>14464.8</c:v>
                </c:pt>
                <c:pt idx="2">
                  <c:v>840.0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89376.00000000001</c:v>
                </c:pt>
                <c:pt idx="3">
                  <c:v>354816.0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Income!$B$81:$E$81</c:f>
              <c:numCache>
                <c:formatCode>#,##0</c:formatCode>
                <c:ptCount val="4"/>
                <c:pt idx="0">
                  <c:v>6773.76</c:v>
                </c:pt>
                <c:pt idx="1">
                  <c:v>5644.8</c:v>
                </c:pt>
                <c:pt idx="2">
                  <c:v>34182.4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4032.0</c:v>
                </c:pt>
                <c:pt idx="2">
                  <c:v>6854.400000000001</c:v>
                </c:pt>
                <c:pt idx="3">
                  <c:v>62899.20000000001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Income!$B$83:$E$83</c:f>
              <c:numCache>
                <c:formatCode>#,##0</c:formatCode>
                <c:ptCount val="4"/>
                <c:pt idx="0">
                  <c:v>0.0</c:v>
                </c:pt>
                <c:pt idx="1">
                  <c:v>19.75624309392266</c:v>
                </c:pt>
                <c:pt idx="2">
                  <c:v>19.75624309392266</c:v>
                </c:pt>
                <c:pt idx="3">
                  <c:v>23.70749171270719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Income!$B$85:$E$85</c:f>
              <c:numCache>
                <c:formatCode>#,##0</c:formatCode>
                <c:ptCount val="4"/>
                <c:pt idx="0">
                  <c:v>22976.77558849172</c:v>
                </c:pt>
                <c:pt idx="1">
                  <c:v>20817.06015693113</c:v>
                </c:pt>
                <c:pt idx="2">
                  <c:v>9310.451612903227</c:v>
                </c:pt>
                <c:pt idx="3">
                  <c:v>11172.54193548387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161176"/>
        <c:axId val="-2092199176"/>
      </c:barChart>
      <c:lineChart>
        <c:grouping val="standard"/>
        <c:varyColors val="0"/>
        <c:ser>
          <c:idx val="13"/>
          <c:order val="14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21863.86968686116</c:v>
                </c:pt>
                <c:pt idx="1">
                  <c:v>21863.86968686116</c:v>
                </c:pt>
                <c:pt idx="2">
                  <c:v>21863.86968686116</c:v>
                </c:pt>
                <c:pt idx="3">
                  <c:v>21863.86968686116</c:v>
                </c:pt>
              </c:numCache>
            </c:numRef>
          </c:val>
          <c:smooth val="0"/>
        </c:ser>
        <c:ser>
          <c:idx val="14"/>
          <c:order val="15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35134.82598951601</c:v>
                </c:pt>
                <c:pt idx="1">
                  <c:v>35134.825989516</c:v>
                </c:pt>
                <c:pt idx="2">
                  <c:v>35134.825989516</c:v>
                </c:pt>
                <c:pt idx="3">
                  <c:v>35134.82598951601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161176"/>
        <c:axId val="-2092199176"/>
      </c:lineChart>
      <c:catAx>
        <c:axId val="-2092161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199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199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161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99389162403579"/>
          <c:h val="0.89808917197452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344.9526948309526</c:v>
                </c:pt>
                <c:pt idx="1">
                  <c:v>344.9526948309526</c:v>
                </c:pt>
                <c:pt idx="2">
                  <c:v>344.9526948309526</c:v>
                </c:pt>
                <c:pt idx="3">
                  <c:v>344.9526948309526</c:v>
                </c:pt>
                <c:pt idx="4">
                  <c:v>344.9526948309526</c:v>
                </c:pt>
                <c:pt idx="5">
                  <c:v>344.9526948309526</c:v>
                </c:pt>
                <c:pt idx="6">
                  <c:v>344.9526948309526</c:v>
                </c:pt>
                <c:pt idx="7">
                  <c:v>344.9526948309526</c:v>
                </c:pt>
                <c:pt idx="8">
                  <c:v>344.9526948309526</c:v>
                </c:pt>
                <c:pt idx="9">
                  <c:v>344.9526948309526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9858.24</c:v>
                </c:pt>
                <c:pt idx="1">
                  <c:v>9858.24</c:v>
                </c:pt>
                <c:pt idx="2">
                  <c:v>9858.24</c:v>
                </c:pt>
                <c:pt idx="3">
                  <c:v>9858.24</c:v>
                </c:pt>
                <c:pt idx="4">
                  <c:v>9858.24</c:v>
                </c:pt>
                <c:pt idx="5">
                  <c:v>9858.24</c:v>
                </c:pt>
                <c:pt idx="6">
                  <c:v>9858.24</c:v>
                </c:pt>
                <c:pt idx="7">
                  <c:v>9858.24</c:v>
                </c:pt>
                <c:pt idx="8">
                  <c:v>9858.24</c:v>
                </c:pt>
                <c:pt idx="9">
                  <c:v>9858.24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6773.76</c:v>
                </c:pt>
                <c:pt idx="1">
                  <c:v>6773.76</c:v>
                </c:pt>
                <c:pt idx="2">
                  <c:v>6773.76</c:v>
                </c:pt>
                <c:pt idx="3">
                  <c:v>6773.76</c:v>
                </c:pt>
                <c:pt idx="4">
                  <c:v>6773.76</c:v>
                </c:pt>
                <c:pt idx="5">
                  <c:v>6773.76</c:v>
                </c:pt>
                <c:pt idx="6">
                  <c:v>6773.76</c:v>
                </c:pt>
                <c:pt idx="7">
                  <c:v>6773.76</c:v>
                </c:pt>
                <c:pt idx="8">
                  <c:v>6773.76</c:v>
                </c:pt>
                <c:pt idx="9">
                  <c:v>6773.76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889192"/>
        <c:axId val="-209289548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21863.86968686116</c:v>
                </c:pt>
                <c:pt idx="1">
                  <c:v>21863.86968686116</c:v>
                </c:pt>
                <c:pt idx="2">
                  <c:v>21863.86968686116</c:v>
                </c:pt>
                <c:pt idx="3">
                  <c:v>21863.86968686116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35134.82598951601</c:v>
                </c:pt>
                <c:pt idx="1">
                  <c:v>35134.825989516</c:v>
                </c:pt>
                <c:pt idx="2">
                  <c:v>35134.825989516</c:v>
                </c:pt>
                <c:pt idx="3">
                  <c:v>35134.82598951601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889192"/>
        <c:axId val="-2092895480"/>
      </c:lineChart>
      <c:catAx>
        <c:axId val="-20928891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895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895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889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Poor!$A$57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rgbClr val="99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0.347922917823741</c:v>
                </c:pt>
                <c:pt idx="1">
                  <c:v>0.396632126319065</c:v>
                </c:pt>
                <c:pt idx="2">
                  <c:v>0.396632126319065</c:v>
                </c:pt>
              </c:numCache>
            </c:numRef>
          </c:val>
        </c:ser>
        <c:ser>
          <c:idx val="2"/>
          <c:order val="1"/>
          <c:tx>
            <c:strRef>
              <c:f>Poor!$A$61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Poor!$K$61:$M$61</c:f>
              <c:numCache>
                <c:formatCode>0%</c:formatCode>
                <c:ptCount val="3"/>
                <c:pt idx="0">
                  <c:v>0.109319277189034</c:v>
                </c:pt>
                <c:pt idx="1">
                  <c:v>0.114289220049984</c:v>
                </c:pt>
                <c:pt idx="2">
                  <c:v>0.0644293582151234</c:v>
                </c:pt>
              </c:numCache>
            </c:numRef>
          </c:val>
        </c:ser>
        <c:ser>
          <c:idx val="1"/>
          <c:order val="2"/>
          <c:tx>
            <c:strRef>
              <c:f>Poor!$A$58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0.266930698354453</c:v>
                </c:pt>
                <c:pt idx="1">
                  <c:v>0.296293075173443</c:v>
                </c:pt>
                <c:pt idx="2">
                  <c:v>0.296293075173443</c:v>
                </c:pt>
              </c:numCache>
            </c:numRef>
          </c:val>
        </c:ser>
        <c:ser>
          <c:idx val="3"/>
          <c:order val="3"/>
          <c:tx>
            <c:strRef>
              <c:f>Poor!$A$62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Poor!$K$62:$M$62</c:f>
              <c:numCache>
                <c:formatCode>0%</c:formatCode>
                <c:ptCount val="3"/>
                <c:pt idx="0">
                  <c:v>-0.257805831758473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Poor!$A$64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Poor!$K$64:$M$64</c:f>
              <c:numCache>
                <c:formatCode>0%</c:formatCode>
                <c:ptCount val="3"/>
                <c:pt idx="1">
                  <c:v>-0.321192629517041</c:v>
                </c:pt>
                <c:pt idx="2">
                  <c:v>-0.232293810360365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5603544"/>
        <c:axId val="1875761592"/>
      </c:barChart>
      <c:catAx>
        <c:axId val="1875603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761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5761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603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Middle!$A$57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rgbClr val="99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0.111894482788428</c:v>
                </c:pt>
                <c:pt idx="1">
                  <c:v>0.127559710378808</c:v>
                </c:pt>
                <c:pt idx="2">
                  <c:v>0.127559710378808</c:v>
                </c:pt>
              </c:numCache>
            </c:numRef>
          </c:val>
        </c:ser>
        <c:ser>
          <c:idx val="2"/>
          <c:order val="1"/>
          <c:tx>
            <c:strRef>
              <c:f>Middle!$A$61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Middle!$K$61:$M$61</c:f>
              <c:numCache>
                <c:formatCode>0%</c:formatCode>
                <c:ptCount val="3"/>
                <c:pt idx="0">
                  <c:v>0.0322360898289254</c:v>
                </c:pt>
                <c:pt idx="1">
                  <c:v>0.0345922122458602</c:v>
                </c:pt>
                <c:pt idx="2">
                  <c:v>0.0365595498510212</c:v>
                </c:pt>
              </c:numCache>
            </c:numRef>
          </c:val>
        </c:ser>
        <c:ser>
          <c:idx val="1"/>
          <c:order val="2"/>
          <c:tx>
            <c:strRef>
              <c:f>Middle!$A$58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0.0858468094586876</c:v>
                </c:pt>
                <c:pt idx="1">
                  <c:v>0.0952899584991432</c:v>
                </c:pt>
                <c:pt idx="2">
                  <c:v>0.0952899584991432</c:v>
                </c:pt>
              </c:numCache>
            </c:numRef>
          </c:val>
        </c:ser>
        <c:ser>
          <c:idx val="3"/>
          <c:order val="3"/>
          <c:tx>
            <c:strRef>
              <c:f>Middle!$A$62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Middle!$K$62:$M$62</c:f>
              <c:numCache>
                <c:formatCode>0%</c:formatCode>
                <c:ptCount val="3"/>
                <c:pt idx="0">
                  <c:v>0.446238194847492</c:v>
                </c:pt>
                <c:pt idx="1">
                  <c:v>0.463733900246547</c:v>
                </c:pt>
                <c:pt idx="2">
                  <c:v>0.460126490607658</c:v>
                </c:pt>
              </c:numCache>
            </c:numRef>
          </c:val>
        </c:ser>
        <c:ser>
          <c:idx val="4"/>
          <c:order val="4"/>
          <c:tx>
            <c:strRef>
              <c:f>Middle!$A$64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25400">
              <a:noFill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Middle!$K$64:$M$64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5269800"/>
        <c:axId val="1875147832"/>
      </c:barChart>
      <c:catAx>
        <c:axId val="1875269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147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5147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269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0949554896142433"/>
          <c:y val="0.80666719160105"/>
          <c:w val="0.955489847893642"/>
          <c:h val="0.9200005249343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Rich!$A$57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rgbClr val="99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0.0372920622415887</c:v>
                </c:pt>
                <c:pt idx="1">
                  <c:v>0.0425129509554111</c:v>
                </c:pt>
                <c:pt idx="2">
                  <c:v>0.0425129509554111</c:v>
                </c:pt>
              </c:numCache>
            </c:numRef>
          </c:val>
        </c:ser>
        <c:ser>
          <c:idx val="2"/>
          <c:order val="1"/>
          <c:tx>
            <c:strRef>
              <c:f>Rich!$A$61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Rich!$K$61:$M$61</c:f>
              <c:numCache>
                <c:formatCode>0%</c:formatCode>
                <c:ptCount val="3"/>
                <c:pt idx="0">
                  <c:v>0.00900797982943873</c:v>
                </c:pt>
                <c:pt idx="1">
                  <c:v>0.00960884784441959</c:v>
                </c:pt>
                <c:pt idx="2">
                  <c:v>0.0102621485079009</c:v>
                </c:pt>
              </c:numCache>
            </c:numRef>
          </c:val>
        </c:ser>
        <c:ser>
          <c:idx val="1"/>
          <c:order val="2"/>
          <c:tx>
            <c:strRef>
              <c:f>Rich!$A$58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0.0286109241653001</c:v>
                </c:pt>
                <c:pt idx="1">
                  <c:v>0.0317581258234831</c:v>
                </c:pt>
                <c:pt idx="2">
                  <c:v>0.0317581258234831</c:v>
                </c:pt>
              </c:numCache>
            </c:numRef>
          </c:val>
        </c:ser>
        <c:ser>
          <c:idx val="3"/>
          <c:order val="3"/>
          <c:tx>
            <c:strRef>
              <c:f>Rich!$A$62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Rich!$K$62:$M$62</c:f>
              <c:numCache>
                <c:formatCode>0%</c:formatCode>
                <c:ptCount val="3"/>
                <c:pt idx="0">
                  <c:v>0.726389544678675</c:v>
                </c:pt>
                <c:pt idx="1">
                  <c:v>0.765000972463807</c:v>
                </c:pt>
                <c:pt idx="2">
                  <c:v>0.764406852199649</c:v>
                </c:pt>
              </c:numCache>
            </c:numRef>
          </c:val>
        </c:ser>
        <c:ser>
          <c:idx val="4"/>
          <c:order val="4"/>
          <c:tx>
            <c:strRef>
              <c:f>Rich!$A$64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Rich!$K$64:$M$64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4902664"/>
        <c:axId val="1875274376"/>
      </c:barChart>
      <c:catAx>
        <c:axId val="187490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274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5274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4902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V.Poor!$A$57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rgbClr val="99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0.4306283995031</c:v>
                </c:pt>
                <c:pt idx="1">
                  <c:v>0.490916375433534</c:v>
                </c:pt>
                <c:pt idx="2">
                  <c:v>0.490916375433534</c:v>
                </c:pt>
              </c:numCache>
            </c:numRef>
          </c:val>
        </c:ser>
        <c:ser>
          <c:idx val="2"/>
          <c:order val="1"/>
          <c:tx>
            <c:strRef>
              <c:f>V.Poor!$A$61</c:f>
              <c:strCache>
                <c:ptCount val="1"/>
                <c:pt idx="0">
                  <c:v>staple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V.Poor!$K$61:$M$61</c:f>
              <c:numCache>
                <c:formatCode>0%</c:formatCode>
                <c:ptCount val="3"/>
                <c:pt idx="0">
                  <c:v>0.179477775659695</c:v>
                </c:pt>
                <c:pt idx="1">
                  <c:v>0.18897629536726</c:v>
                </c:pt>
                <c:pt idx="2">
                  <c:v>0.132130612969638</c:v>
                </c:pt>
              </c:numCache>
            </c:numRef>
          </c:val>
        </c:ser>
        <c:ser>
          <c:idx val="1"/>
          <c:order val="2"/>
          <c:tx>
            <c:strRef>
              <c:f>V.Poor!$A$58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0.330383350799719</c:v>
                </c:pt>
                <c:pt idx="1">
                  <c:v>0.366725519387688</c:v>
                </c:pt>
                <c:pt idx="2">
                  <c:v>0.366725519387688</c:v>
                </c:pt>
              </c:numCache>
            </c:numRef>
          </c:val>
        </c:ser>
        <c:ser>
          <c:idx val="3"/>
          <c:order val="3"/>
          <c:tx>
            <c:strRef>
              <c:f>V.Poor!$A$62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V.Poor!$K$62:$M$62</c:f>
              <c:numCache>
                <c:formatCode>0%</c:formatCode>
                <c:ptCount val="3"/>
                <c:pt idx="0">
                  <c:v>0.0595104740374862</c:v>
                </c:pt>
                <c:pt idx="1">
                  <c:v>-9.6123443088897E-17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V.Poor!$A$64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V.Poor!$K$64:$M$64</c:f>
              <c:numCache>
                <c:formatCode>0%</c:formatCode>
                <c:ptCount val="3"/>
                <c:pt idx="1">
                  <c:v>-0.623233486822437</c:v>
                </c:pt>
                <c:pt idx="2">
                  <c:v>-0.508405017381347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5875096"/>
        <c:axId val="1875867320"/>
      </c:barChart>
      <c:catAx>
        <c:axId val="1875875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867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5867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875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61300712496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0.037546699875467</c:v>
                </c:pt>
                <c:pt idx="1">
                  <c:v>0.037546699875467</c:v>
                </c:pt>
                <c:pt idx="2" formatCode="0.0%">
                  <c:v>0.037546699875467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0.0187733499377335</c:v>
                </c:pt>
                <c:pt idx="1">
                  <c:v>0.0187733499377335</c:v>
                </c:pt>
                <c:pt idx="2" formatCode="0.0%">
                  <c:v>0.0187733499377335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0.00188096720630967</c:v>
                </c:pt>
                <c:pt idx="1">
                  <c:v>0.00188096720630967</c:v>
                </c:pt>
                <c:pt idx="2" formatCode="0.0%">
                  <c:v>0.00188096720630967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0.276013356164384</c:v>
                </c:pt>
                <c:pt idx="1">
                  <c:v>0.276013356164384</c:v>
                </c:pt>
                <c:pt idx="2" formatCode="0.0%">
                  <c:v>0.276013356164384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0.0308491905354919</c:v>
                </c:pt>
                <c:pt idx="1">
                  <c:v>0.0308491905354919</c:v>
                </c:pt>
                <c:pt idx="2" formatCode="0.0%">
                  <c:v>0.0308491905354919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0.1034099626401</c:v>
                </c:pt>
                <c:pt idx="1">
                  <c:v>0.1034099626401</c:v>
                </c:pt>
                <c:pt idx="2" formatCode="0.0%">
                  <c:v>0.1034099626401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0.0957411145703611</c:v>
                </c:pt>
                <c:pt idx="1">
                  <c:v>0.0957411145703611</c:v>
                </c:pt>
                <c:pt idx="2" formatCode="0.0%">
                  <c:v>0.0957411145703611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D5B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0.0300435865504359</c:v>
                </c:pt>
                <c:pt idx="1">
                  <c:v>0.0300435865504359</c:v>
                </c:pt>
                <c:pt idx="2" formatCode="0.0%">
                  <c:v>0.0300435865504359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E46C0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Food aid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0.00902012951432129</c:v>
                </c:pt>
                <c:pt idx="1">
                  <c:v>0.00902012951432129</c:v>
                </c:pt>
                <c:pt idx="2" formatCode="0.0%">
                  <c:v>0.00930171660999642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0.00258090410958904</c:v>
                </c:pt>
                <c:pt idx="1">
                  <c:v>0.00258090410958904</c:v>
                </c:pt>
                <c:pt idx="2" formatCode="0.0%">
                  <c:v>0.00266147382771574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0.140967372353674</c:v>
                </c:pt>
                <c:pt idx="1">
                  <c:v>0.140967372353674</c:v>
                </c:pt>
                <c:pt idx="2" formatCode="0.0%">
                  <c:v>0.132512959090213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0.641941240348692</c:v>
                </c:pt>
                <c:pt idx="1">
                  <c:v>0.615053981238753</c:v>
                </c:pt>
                <c:pt idx="2" formatCode="0.0%">
                  <c:v>0.650033496798351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5994376"/>
        <c:axId val="1873915448"/>
      </c:barChart>
      <c:catAx>
        <c:axId val="-2095994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3915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3915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5994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29673590504451"/>
          <c:y val="0.808889413823272"/>
          <c:w val="0.949555129792752"/>
          <c:h val="0.1866668416447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344.9526948309526</c:v>
                </c:pt>
                <c:pt idx="1">
                  <c:v>344.9526948309526</c:v>
                </c:pt>
                <c:pt idx="2">
                  <c:v>344.9526948309526</c:v>
                </c:pt>
                <c:pt idx="3">
                  <c:v>344.9526948309526</c:v>
                </c:pt>
                <c:pt idx="4">
                  <c:v>344.9526948309526</c:v>
                </c:pt>
                <c:pt idx="5">
                  <c:v>344.9526948309526</c:v>
                </c:pt>
                <c:pt idx="6">
                  <c:v>344.9526948309526</c:v>
                </c:pt>
                <c:pt idx="7">
                  <c:v>344.9526948309526</c:v>
                </c:pt>
                <c:pt idx="8">
                  <c:v>344.9526948309526</c:v>
                </c:pt>
                <c:pt idx="9">
                  <c:v>344.9526948309526</c:v>
                </c:pt>
                <c:pt idx="10">
                  <c:v>344.9526948309526</c:v>
                </c:pt>
                <c:pt idx="11">
                  <c:v>344.9526948309526</c:v>
                </c:pt>
                <c:pt idx="12">
                  <c:v>344.9526948309526</c:v>
                </c:pt>
                <c:pt idx="13">
                  <c:v>344.9526948309526</c:v>
                </c:pt>
                <c:pt idx="14">
                  <c:v>344.9526948309526</c:v>
                </c:pt>
                <c:pt idx="15">
                  <c:v>344.9526948309526</c:v>
                </c:pt>
                <c:pt idx="16">
                  <c:v>344.9526948309526</c:v>
                </c:pt>
                <c:pt idx="17">
                  <c:v>344.9526948309526</c:v>
                </c:pt>
                <c:pt idx="18">
                  <c:v>344.9526948309526</c:v>
                </c:pt>
                <c:pt idx="19">
                  <c:v>344.9526948309526</c:v>
                </c:pt>
                <c:pt idx="20">
                  <c:v>344.9526948309526</c:v>
                </c:pt>
                <c:pt idx="21">
                  <c:v>344.9526948309526</c:v>
                </c:pt>
                <c:pt idx="22">
                  <c:v>344.9526948309526</c:v>
                </c:pt>
                <c:pt idx="23">
                  <c:v>344.9526948309526</c:v>
                </c:pt>
                <c:pt idx="24">
                  <c:v>344.9526948309526</c:v>
                </c:pt>
                <c:pt idx="25">
                  <c:v>344.9526948309526</c:v>
                </c:pt>
                <c:pt idx="26">
                  <c:v>344.9526948309526</c:v>
                </c:pt>
                <c:pt idx="27">
                  <c:v>344.9526948309526</c:v>
                </c:pt>
                <c:pt idx="28">
                  <c:v>344.9526948309526</c:v>
                </c:pt>
                <c:pt idx="29">
                  <c:v>344.9526948309526</c:v>
                </c:pt>
                <c:pt idx="30">
                  <c:v>344.9526948309526</c:v>
                </c:pt>
                <c:pt idx="31">
                  <c:v>344.9526948309526</c:v>
                </c:pt>
                <c:pt idx="32">
                  <c:v>344.9526948309526</c:v>
                </c:pt>
                <c:pt idx="33">
                  <c:v>344.9526948309526</c:v>
                </c:pt>
                <c:pt idx="34">
                  <c:v>344.9526948309526</c:v>
                </c:pt>
                <c:pt idx="35">
                  <c:v>344.9526948309526</c:v>
                </c:pt>
                <c:pt idx="36">
                  <c:v>344.9526948309526</c:v>
                </c:pt>
                <c:pt idx="37">
                  <c:v>344.9526948309526</c:v>
                </c:pt>
                <c:pt idx="38">
                  <c:v>344.9526948309526</c:v>
                </c:pt>
                <c:pt idx="39">
                  <c:v>344.9526948309526</c:v>
                </c:pt>
                <c:pt idx="40">
                  <c:v>2652.638755821375</c:v>
                </c:pt>
                <c:pt idx="41">
                  <c:v>2652.638755821375</c:v>
                </c:pt>
                <c:pt idx="42">
                  <c:v>2652.638755821375</c:v>
                </c:pt>
                <c:pt idx="43">
                  <c:v>2652.638755821375</c:v>
                </c:pt>
                <c:pt idx="44">
                  <c:v>2652.638755821375</c:v>
                </c:pt>
                <c:pt idx="45">
                  <c:v>2652.638755821375</c:v>
                </c:pt>
                <c:pt idx="46">
                  <c:v>2652.638755821375</c:v>
                </c:pt>
                <c:pt idx="47">
                  <c:v>2652.638755821375</c:v>
                </c:pt>
                <c:pt idx="48">
                  <c:v>2652.638755821375</c:v>
                </c:pt>
                <c:pt idx="49">
                  <c:v>2652.638755821375</c:v>
                </c:pt>
                <c:pt idx="50">
                  <c:v>2652.638755821375</c:v>
                </c:pt>
                <c:pt idx="51">
                  <c:v>2652.638755821375</c:v>
                </c:pt>
                <c:pt idx="52">
                  <c:v>2652.638755821375</c:v>
                </c:pt>
                <c:pt idx="53">
                  <c:v>2652.638755821375</c:v>
                </c:pt>
                <c:pt idx="54">
                  <c:v>2652.638755821375</c:v>
                </c:pt>
                <c:pt idx="55">
                  <c:v>2652.638755821375</c:v>
                </c:pt>
                <c:pt idx="56">
                  <c:v>2652.638755821375</c:v>
                </c:pt>
                <c:pt idx="57">
                  <c:v>2652.638755821375</c:v>
                </c:pt>
                <c:pt idx="58">
                  <c:v>2652.638755821375</c:v>
                </c:pt>
                <c:pt idx="59">
                  <c:v>2652.638755821375</c:v>
                </c:pt>
                <c:pt idx="60">
                  <c:v>2652.638755821375</c:v>
                </c:pt>
                <c:pt idx="61">
                  <c:v>2652.638755821375</c:v>
                </c:pt>
                <c:pt idx="62">
                  <c:v>2652.638755821375</c:v>
                </c:pt>
                <c:pt idx="63">
                  <c:v>2652.638755821375</c:v>
                </c:pt>
                <c:pt idx="64">
                  <c:v>2652.638755821375</c:v>
                </c:pt>
                <c:pt idx="65">
                  <c:v>2652.638755821375</c:v>
                </c:pt>
                <c:pt idx="66">
                  <c:v>2652.638755821375</c:v>
                </c:pt>
                <c:pt idx="67">
                  <c:v>2652.638755821375</c:v>
                </c:pt>
                <c:pt idx="68">
                  <c:v>2652.638755821375</c:v>
                </c:pt>
                <c:pt idx="69">
                  <c:v>2652.638755821375</c:v>
                </c:pt>
                <c:pt idx="70">
                  <c:v>2652.638755821375</c:v>
                </c:pt>
                <c:pt idx="71">
                  <c:v>2652.638755821375</c:v>
                </c:pt>
                <c:pt idx="72">
                  <c:v>2652.638755821375</c:v>
                </c:pt>
                <c:pt idx="73">
                  <c:v>2652.638755821375</c:v>
                </c:pt>
                <c:pt idx="74">
                  <c:v>4103.397922753278</c:v>
                </c:pt>
                <c:pt idx="75">
                  <c:v>4103.397922753278</c:v>
                </c:pt>
                <c:pt idx="76">
                  <c:v>4103.397922753278</c:v>
                </c:pt>
                <c:pt idx="77">
                  <c:v>4103.397922753278</c:v>
                </c:pt>
                <c:pt idx="78">
                  <c:v>4103.397922753278</c:v>
                </c:pt>
                <c:pt idx="79">
                  <c:v>4103.397922753278</c:v>
                </c:pt>
                <c:pt idx="80">
                  <c:v>4103.397922753278</c:v>
                </c:pt>
                <c:pt idx="81">
                  <c:v>4103.397922753278</c:v>
                </c:pt>
                <c:pt idx="82">
                  <c:v>4103.397922753278</c:v>
                </c:pt>
                <c:pt idx="83">
                  <c:v>4103.397922753278</c:v>
                </c:pt>
                <c:pt idx="84">
                  <c:v>4103.397922753278</c:v>
                </c:pt>
                <c:pt idx="85">
                  <c:v>4103.397922753278</c:v>
                </c:pt>
                <c:pt idx="86">
                  <c:v>4103.397922753278</c:v>
                </c:pt>
                <c:pt idx="87">
                  <c:v>4103.397922753278</c:v>
                </c:pt>
                <c:pt idx="88">
                  <c:v>4103.397922753278</c:v>
                </c:pt>
                <c:pt idx="89">
                  <c:v>4103.397922753278</c:v>
                </c:pt>
                <c:pt idx="90">
                  <c:v>4103.397922753278</c:v>
                </c:pt>
                <c:pt idx="91">
                  <c:v>4103.397922753278</c:v>
                </c:pt>
                <c:pt idx="92">
                  <c:v>3942.925922955967</c:v>
                </c:pt>
                <c:pt idx="93">
                  <c:v>3942.925922955967</c:v>
                </c:pt>
                <c:pt idx="94">
                  <c:v>3942.925922955967</c:v>
                </c:pt>
                <c:pt idx="95">
                  <c:v>3942.925922955967</c:v>
                </c:pt>
                <c:pt idx="96">
                  <c:v>3942.925922955967</c:v>
                </c:pt>
                <c:pt idx="97">
                  <c:v>3942.925922955967</c:v>
                </c:pt>
                <c:pt idx="98">
                  <c:v>3942.925922955967</c:v>
                </c:pt>
                <c:pt idx="99">
                  <c:v>3942.925922955967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4838.4</c:v>
                </c:pt>
                <c:pt idx="93">
                  <c:v>4838.4</c:v>
                </c:pt>
                <c:pt idx="94">
                  <c:v>4838.4</c:v>
                </c:pt>
                <c:pt idx="95">
                  <c:v>4838.4</c:v>
                </c:pt>
                <c:pt idx="96">
                  <c:v>4838.4</c:v>
                </c:pt>
                <c:pt idx="97">
                  <c:v>4838.4</c:v>
                </c:pt>
                <c:pt idx="98">
                  <c:v>4838.4</c:v>
                </c:pt>
                <c:pt idx="99">
                  <c:v>4838.4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166.8722918702135</c:v>
                </c:pt>
                <c:pt idx="41">
                  <c:v>166.8722918702135</c:v>
                </c:pt>
                <c:pt idx="42">
                  <c:v>166.8722918702135</c:v>
                </c:pt>
                <c:pt idx="43">
                  <c:v>166.8722918702135</c:v>
                </c:pt>
                <c:pt idx="44">
                  <c:v>166.8722918702135</c:v>
                </c:pt>
                <c:pt idx="45">
                  <c:v>166.8722918702135</c:v>
                </c:pt>
                <c:pt idx="46">
                  <c:v>166.8722918702135</c:v>
                </c:pt>
                <c:pt idx="47">
                  <c:v>166.8722918702135</c:v>
                </c:pt>
                <c:pt idx="48">
                  <c:v>166.8722918702135</c:v>
                </c:pt>
                <c:pt idx="49">
                  <c:v>166.8722918702135</c:v>
                </c:pt>
                <c:pt idx="50">
                  <c:v>166.8722918702135</c:v>
                </c:pt>
                <c:pt idx="51">
                  <c:v>166.8722918702135</c:v>
                </c:pt>
                <c:pt idx="52">
                  <c:v>166.8722918702135</c:v>
                </c:pt>
                <c:pt idx="53">
                  <c:v>166.8722918702135</c:v>
                </c:pt>
                <c:pt idx="54">
                  <c:v>166.8722918702135</c:v>
                </c:pt>
                <c:pt idx="55">
                  <c:v>166.8722918702135</c:v>
                </c:pt>
                <c:pt idx="56">
                  <c:v>166.8722918702135</c:v>
                </c:pt>
                <c:pt idx="57">
                  <c:v>166.8722918702135</c:v>
                </c:pt>
                <c:pt idx="58">
                  <c:v>166.8722918702135</c:v>
                </c:pt>
                <c:pt idx="59">
                  <c:v>166.8722918702135</c:v>
                </c:pt>
                <c:pt idx="60">
                  <c:v>166.8722918702135</c:v>
                </c:pt>
                <c:pt idx="61">
                  <c:v>166.8722918702135</c:v>
                </c:pt>
                <c:pt idx="62">
                  <c:v>166.8722918702135</c:v>
                </c:pt>
                <c:pt idx="63">
                  <c:v>166.8722918702135</c:v>
                </c:pt>
                <c:pt idx="64">
                  <c:v>166.8722918702135</c:v>
                </c:pt>
                <c:pt idx="65">
                  <c:v>166.8722918702135</c:v>
                </c:pt>
                <c:pt idx="66">
                  <c:v>166.8722918702135</c:v>
                </c:pt>
                <c:pt idx="67">
                  <c:v>166.8722918702135</c:v>
                </c:pt>
                <c:pt idx="68">
                  <c:v>166.8722918702135</c:v>
                </c:pt>
                <c:pt idx="69">
                  <c:v>166.8722918702135</c:v>
                </c:pt>
                <c:pt idx="70">
                  <c:v>166.8722918702135</c:v>
                </c:pt>
                <c:pt idx="71">
                  <c:v>166.8722918702135</c:v>
                </c:pt>
                <c:pt idx="72">
                  <c:v>166.8722918702135</c:v>
                </c:pt>
                <c:pt idx="73">
                  <c:v>166.8722918702135</c:v>
                </c:pt>
                <c:pt idx="74">
                  <c:v>445.5157540642072</c:v>
                </c:pt>
                <c:pt idx="75">
                  <c:v>445.5157540642072</c:v>
                </c:pt>
                <c:pt idx="76">
                  <c:v>445.5157540642072</c:v>
                </c:pt>
                <c:pt idx="77">
                  <c:v>445.5157540642072</c:v>
                </c:pt>
                <c:pt idx="78">
                  <c:v>445.5157540642072</c:v>
                </c:pt>
                <c:pt idx="79">
                  <c:v>445.5157540642072</c:v>
                </c:pt>
                <c:pt idx="80">
                  <c:v>445.5157540642072</c:v>
                </c:pt>
                <c:pt idx="81">
                  <c:v>445.5157540642072</c:v>
                </c:pt>
                <c:pt idx="82">
                  <c:v>445.5157540642072</c:v>
                </c:pt>
                <c:pt idx="83">
                  <c:v>445.5157540642072</c:v>
                </c:pt>
                <c:pt idx="84">
                  <c:v>445.5157540642072</c:v>
                </c:pt>
                <c:pt idx="85">
                  <c:v>445.5157540642072</c:v>
                </c:pt>
                <c:pt idx="86">
                  <c:v>445.5157540642072</c:v>
                </c:pt>
                <c:pt idx="87">
                  <c:v>445.5157540642072</c:v>
                </c:pt>
                <c:pt idx="88">
                  <c:v>445.5157540642072</c:v>
                </c:pt>
                <c:pt idx="89">
                  <c:v>445.5157540642072</c:v>
                </c:pt>
                <c:pt idx="90">
                  <c:v>445.5157540642072</c:v>
                </c:pt>
                <c:pt idx="91">
                  <c:v>445.5157540642072</c:v>
                </c:pt>
                <c:pt idx="92">
                  <c:v>1349.261530714527</c:v>
                </c:pt>
                <c:pt idx="93">
                  <c:v>1349.261530714527</c:v>
                </c:pt>
                <c:pt idx="94">
                  <c:v>1349.261530714527</c:v>
                </c:pt>
                <c:pt idx="95">
                  <c:v>1349.261530714527</c:v>
                </c:pt>
                <c:pt idx="96">
                  <c:v>1349.261530714527</c:v>
                </c:pt>
                <c:pt idx="97">
                  <c:v>1349.261530714527</c:v>
                </c:pt>
                <c:pt idx="98">
                  <c:v>1349.261530714527</c:v>
                </c:pt>
                <c:pt idx="99">
                  <c:v>1349.261530714527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4065.6</c:v>
                </c:pt>
                <c:pt idx="41">
                  <c:v>4065.6</c:v>
                </c:pt>
                <c:pt idx="42">
                  <c:v>4065.6</c:v>
                </c:pt>
                <c:pt idx="43">
                  <c:v>4065.6</c:v>
                </c:pt>
                <c:pt idx="44">
                  <c:v>4065.6</c:v>
                </c:pt>
                <c:pt idx="45">
                  <c:v>4065.6</c:v>
                </c:pt>
                <c:pt idx="46">
                  <c:v>4065.6</c:v>
                </c:pt>
                <c:pt idx="47">
                  <c:v>4065.6</c:v>
                </c:pt>
                <c:pt idx="48">
                  <c:v>4065.6</c:v>
                </c:pt>
                <c:pt idx="49">
                  <c:v>4065.6</c:v>
                </c:pt>
                <c:pt idx="50">
                  <c:v>4065.6</c:v>
                </c:pt>
                <c:pt idx="51">
                  <c:v>4065.6</c:v>
                </c:pt>
                <c:pt idx="52">
                  <c:v>4065.6</c:v>
                </c:pt>
                <c:pt idx="53">
                  <c:v>4065.6</c:v>
                </c:pt>
                <c:pt idx="54">
                  <c:v>4065.6</c:v>
                </c:pt>
                <c:pt idx="55">
                  <c:v>4065.6</c:v>
                </c:pt>
                <c:pt idx="56">
                  <c:v>4065.6</c:v>
                </c:pt>
                <c:pt idx="57">
                  <c:v>4065.6</c:v>
                </c:pt>
                <c:pt idx="58">
                  <c:v>4065.6</c:v>
                </c:pt>
                <c:pt idx="59">
                  <c:v>4065.6</c:v>
                </c:pt>
                <c:pt idx="60">
                  <c:v>4065.6</c:v>
                </c:pt>
                <c:pt idx="61">
                  <c:v>4065.6</c:v>
                </c:pt>
                <c:pt idx="62">
                  <c:v>4065.6</c:v>
                </c:pt>
                <c:pt idx="63">
                  <c:v>4065.6</c:v>
                </c:pt>
                <c:pt idx="64">
                  <c:v>4065.6</c:v>
                </c:pt>
                <c:pt idx="65">
                  <c:v>4065.6</c:v>
                </c:pt>
                <c:pt idx="66">
                  <c:v>4065.6</c:v>
                </c:pt>
                <c:pt idx="67">
                  <c:v>4065.6</c:v>
                </c:pt>
                <c:pt idx="68">
                  <c:v>4065.6</c:v>
                </c:pt>
                <c:pt idx="69">
                  <c:v>4065.6</c:v>
                </c:pt>
                <c:pt idx="70">
                  <c:v>4065.6</c:v>
                </c:pt>
                <c:pt idx="71">
                  <c:v>4065.6</c:v>
                </c:pt>
                <c:pt idx="72">
                  <c:v>4065.6</c:v>
                </c:pt>
                <c:pt idx="73">
                  <c:v>4065.6</c:v>
                </c:pt>
                <c:pt idx="74">
                  <c:v>11872.0</c:v>
                </c:pt>
                <c:pt idx="75">
                  <c:v>11872.0</c:v>
                </c:pt>
                <c:pt idx="76">
                  <c:v>11872.0</c:v>
                </c:pt>
                <c:pt idx="77">
                  <c:v>11872.0</c:v>
                </c:pt>
                <c:pt idx="78">
                  <c:v>11872.0</c:v>
                </c:pt>
                <c:pt idx="79">
                  <c:v>11872.0</c:v>
                </c:pt>
                <c:pt idx="80">
                  <c:v>11872.0</c:v>
                </c:pt>
                <c:pt idx="81">
                  <c:v>11872.0</c:v>
                </c:pt>
                <c:pt idx="82">
                  <c:v>11872.0</c:v>
                </c:pt>
                <c:pt idx="83">
                  <c:v>11872.0</c:v>
                </c:pt>
                <c:pt idx="84">
                  <c:v>11872.0</c:v>
                </c:pt>
                <c:pt idx="85">
                  <c:v>11872.0</c:v>
                </c:pt>
                <c:pt idx="86">
                  <c:v>11872.0</c:v>
                </c:pt>
                <c:pt idx="87">
                  <c:v>11872.0</c:v>
                </c:pt>
                <c:pt idx="88">
                  <c:v>11872.0</c:v>
                </c:pt>
                <c:pt idx="89">
                  <c:v>11872.0</c:v>
                </c:pt>
                <c:pt idx="90">
                  <c:v>11872.0</c:v>
                </c:pt>
                <c:pt idx="91">
                  <c:v>11872.0</c:v>
                </c:pt>
                <c:pt idx="92">
                  <c:v>23654.40000000001</c:v>
                </c:pt>
                <c:pt idx="93">
                  <c:v>23654.40000000001</c:v>
                </c:pt>
                <c:pt idx="94">
                  <c:v>23654.40000000001</c:v>
                </c:pt>
                <c:pt idx="95">
                  <c:v>23654.40000000001</c:v>
                </c:pt>
                <c:pt idx="96">
                  <c:v>23654.40000000001</c:v>
                </c:pt>
                <c:pt idx="97">
                  <c:v>23654.40000000001</c:v>
                </c:pt>
                <c:pt idx="98">
                  <c:v>23654.40000000001</c:v>
                </c:pt>
                <c:pt idx="99">
                  <c:v>23654.40000000001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9858.24</c:v>
                </c:pt>
                <c:pt idx="1">
                  <c:v>9858.24</c:v>
                </c:pt>
                <c:pt idx="2">
                  <c:v>9858.24</c:v>
                </c:pt>
                <c:pt idx="3">
                  <c:v>9858.24</c:v>
                </c:pt>
                <c:pt idx="4">
                  <c:v>9858.24</c:v>
                </c:pt>
                <c:pt idx="5">
                  <c:v>9858.24</c:v>
                </c:pt>
                <c:pt idx="6">
                  <c:v>9858.24</c:v>
                </c:pt>
                <c:pt idx="7">
                  <c:v>9858.24</c:v>
                </c:pt>
                <c:pt idx="8">
                  <c:v>9858.24</c:v>
                </c:pt>
                <c:pt idx="9">
                  <c:v>9858.24</c:v>
                </c:pt>
                <c:pt idx="10">
                  <c:v>9858.24</c:v>
                </c:pt>
                <c:pt idx="11">
                  <c:v>9858.24</c:v>
                </c:pt>
                <c:pt idx="12">
                  <c:v>9858.24</c:v>
                </c:pt>
                <c:pt idx="13">
                  <c:v>9858.24</c:v>
                </c:pt>
                <c:pt idx="14">
                  <c:v>9858.24</c:v>
                </c:pt>
                <c:pt idx="15">
                  <c:v>9858.24</c:v>
                </c:pt>
                <c:pt idx="16">
                  <c:v>9858.24</c:v>
                </c:pt>
                <c:pt idx="17">
                  <c:v>9858.24</c:v>
                </c:pt>
                <c:pt idx="18">
                  <c:v>9858.24</c:v>
                </c:pt>
                <c:pt idx="19">
                  <c:v>9858.24</c:v>
                </c:pt>
                <c:pt idx="20">
                  <c:v>9858.24</c:v>
                </c:pt>
                <c:pt idx="21">
                  <c:v>9858.24</c:v>
                </c:pt>
                <c:pt idx="22">
                  <c:v>9858.24</c:v>
                </c:pt>
                <c:pt idx="23">
                  <c:v>9858.24</c:v>
                </c:pt>
                <c:pt idx="24">
                  <c:v>9858.24</c:v>
                </c:pt>
                <c:pt idx="25">
                  <c:v>9858.24</c:v>
                </c:pt>
                <c:pt idx="26">
                  <c:v>9858.24</c:v>
                </c:pt>
                <c:pt idx="27">
                  <c:v>9858.24</c:v>
                </c:pt>
                <c:pt idx="28">
                  <c:v>9858.24</c:v>
                </c:pt>
                <c:pt idx="29">
                  <c:v>9858.24</c:v>
                </c:pt>
                <c:pt idx="30">
                  <c:v>9858.24</c:v>
                </c:pt>
                <c:pt idx="31">
                  <c:v>9858.24</c:v>
                </c:pt>
                <c:pt idx="32">
                  <c:v>9858.24</c:v>
                </c:pt>
                <c:pt idx="33">
                  <c:v>9858.24</c:v>
                </c:pt>
                <c:pt idx="34">
                  <c:v>9858.24</c:v>
                </c:pt>
                <c:pt idx="35">
                  <c:v>9858.24</c:v>
                </c:pt>
                <c:pt idx="36">
                  <c:v>9858.24</c:v>
                </c:pt>
                <c:pt idx="37">
                  <c:v>9858.24</c:v>
                </c:pt>
                <c:pt idx="38">
                  <c:v>9858.24</c:v>
                </c:pt>
                <c:pt idx="39">
                  <c:v>9858.24</c:v>
                </c:pt>
                <c:pt idx="40">
                  <c:v>14464.8</c:v>
                </c:pt>
                <c:pt idx="41">
                  <c:v>14464.8</c:v>
                </c:pt>
                <c:pt idx="42">
                  <c:v>14464.8</c:v>
                </c:pt>
                <c:pt idx="43">
                  <c:v>14464.8</c:v>
                </c:pt>
                <c:pt idx="44">
                  <c:v>14464.8</c:v>
                </c:pt>
                <c:pt idx="45">
                  <c:v>14464.8</c:v>
                </c:pt>
                <c:pt idx="46">
                  <c:v>14464.8</c:v>
                </c:pt>
                <c:pt idx="47">
                  <c:v>14464.8</c:v>
                </c:pt>
                <c:pt idx="48">
                  <c:v>14464.8</c:v>
                </c:pt>
                <c:pt idx="49">
                  <c:v>14464.8</c:v>
                </c:pt>
                <c:pt idx="50">
                  <c:v>14464.8</c:v>
                </c:pt>
                <c:pt idx="51">
                  <c:v>14464.8</c:v>
                </c:pt>
                <c:pt idx="52">
                  <c:v>14464.8</c:v>
                </c:pt>
                <c:pt idx="53">
                  <c:v>14464.8</c:v>
                </c:pt>
                <c:pt idx="54">
                  <c:v>14464.8</c:v>
                </c:pt>
                <c:pt idx="55">
                  <c:v>14464.8</c:v>
                </c:pt>
                <c:pt idx="56">
                  <c:v>14464.8</c:v>
                </c:pt>
                <c:pt idx="57">
                  <c:v>14464.8</c:v>
                </c:pt>
                <c:pt idx="58">
                  <c:v>14464.8</c:v>
                </c:pt>
                <c:pt idx="59">
                  <c:v>14464.8</c:v>
                </c:pt>
                <c:pt idx="60">
                  <c:v>14464.8</c:v>
                </c:pt>
                <c:pt idx="61">
                  <c:v>14464.8</c:v>
                </c:pt>
                <c:pt idx="62">
                  <c:v>14464.8</c:v>
                </c:pt>
                <c:pt idx="63">
                  <c:v>14464.8</c:v>
                </c:pt>
                <c:pt idx="64">
                  <c:v>14464.8</c:v>
                </c:pt>
                <c:pt idx="65">
                  <c:v>14464.8</c:v>
                </c:pt>
                <c:pt idx="66">
                  <c:v>14464.8</c:v>
                </c:pt>
                <c:pt idx="67">
                  <c:v>14464.8</c:v>
                </c:pt>
                <c:pt idx="68">
                  <c:v>14464.8</c:v>
                </c:pt>
                <c:pt idx="69">
                  <c:v>14464.8</c:v>
                </c:pt>
                <c:pt idx="70">
                  <c:v>14464.8</c:v>
                </c:pt>
                <c:pt idx="71">
                  <c:v>14464.8</c:v>
                </c:pt>
                <c:pt idx="72">
                  <c:v>14464.8</c:v>
                </c:pt>
                <c:pt idx="73">
                  <c:v>14464.8</c:v>
                </c:pt>
                <c:pt idx="74">
                  <c:v>840.0</c:v>
                </c:pt>
                <c:pt idx="75">
                  <c:v>840.0</c:v>
                </c:pt>
                <c:pt idx="76">
                  <c:v>840.0</c:v>
                </c:pt>
                <c:pt idx="77">
                  <c:v>840.0</c:v>
                </c:pt>
                <c:pt idx="78">
                  <c:v>840.0</c:v>
                </c:pt>
                <c:pt idx="79">
                  <c:v>840.0</c:v>
                </c:pt>
                <c:pt idx="80">
                  <c:v>840.0</c:v>
                </c:pt>
                <c:pt idx="81">
                  <c:v>840.0</c:v>
                </c:pt>
                <c:pt idx="82">
                  <c:v>840.0</c:v>
                </c:pt>
                <c:pt idx="83">
                  <c:v>840.0</c:v>
                </c:pt>
                <c:pt idx="84">
                  <c:v>840.0</c:v>
                </c:pt>
                <c:pt idx="85">
                  <c:v>840.0</c:v>
                </c:pt>
                <c:pt idx="86">
                  <c:v>840.0</c:v>
                </c:pt>
                <c:pt idx="87">
                  <c:v>840.0</c:v>
                </c:pt>
                <c:pt idx="88">
                  <c:v>840.0</c:v>
                </c:pt>
                <c:pt idx="89">
                  <c:v>840.0</c:v>
                </c:pt>
                <c:pt idx="90">
                  <c:v>840.0</c:v>
                </c:pt>
                <c:pt idx="91">
                  <c:v>840.0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89376.00000000001</c:v>
                </c:pt>
                <c:pt idx="75">
                  <c:v>89376.00000000001</c:v>
                </c:pt>
                <c:pt idx="76">
                  <c:v>89376.00000000001</c:v>
                </c:pt>
                <c:pt idx="77">
                  <c:v>89376.00000000001</c:v>
                </c:pt>
                <c:pt idx="78">
                  <c:v>89376.00000000001</c:v>
                </c:pt>
                <c:pt idx="79">
                  <c:v>89376.00000000001</c:v>
                </c:pt>
                <c:pt idx="80">
                  <c:v>89376.00000000001</c:v>
                </c:pt>
                <c:pt idx="81">
                  <c:v>89376.00000000001</c:v>
                </c:pt>
                <c:pt idx="82">
                  <c:v>89376.00000000001</c:v>
                </c:pt>
                <c:pt idx="83">
                  <c:v>89376.00000000001</c:v>
                </c:pt>
                <c:pt idx="84">
                  <c:v>89376.00000000001</c:v>
                </c:pt>
                <c:pt idx="85">
                  <c:v>89376.00000000001</c:v>
                </c:pt>
                <c:pt idx="86">
                  <c:v>89376.00000000001</c:v>
                </c:pt>
                <c:pt idx="87">
                  <c:v>89376.00000000001</c:v>
                </c:pt>
                <c:pt idx="88">
                  <c:v>89376.00000000001</c:v>
                </c:pt>
                <c:pt idx="89">
                  <c:v>89376.00000000001</c:v>
                </c:pt>
                <c:pt idx="90">
                  <c:v>89376.00000000001</c:v>
                </c:pt>
                <c:pt idx="91">
                  <c:v>89376.00000000001</c:v>
                </c:pt>
                <c:pt idx="92">
                  <c:v>354816.0</c:v>
                </c:pt>
                <c:pt idx="93">
                  <c:v>354816.0</c:v>
                </c:pt>
                <c:pt idx="94">
                  <c:v>354816.0</c:v>
                </c:pt>
                <c:pt idx="95">
                  <c:v>354816.0</c:v>
                </c:pt>
                <c:pt idx="96">
                  <c:v>354816.0</c:v>
                </c:pt>
                <c:pt idx="97">
                  <c:v>354816.0</c:v>
                </c:pt>
                <c:pt idx="98">
                  <c:v>354816.0</c:v>
                </c:pt>
                <c:pt idx="99">
                  <c:v>354816.0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6773.76</c:v>
                </c:pt>
                <c:pt idx="1">
                  <c:v>6773.76</c:v>
                </c:pt>
                <c:pt idx="2">
                  <c:v>6773.76</c:v>
                </c:pt>
                <c:pt idx="3">
                  <c:v>6773.76</c:v>
                </c:pt>
                <c:pt idx="4">
                  <c:v>6773.76</c:v>
                </c:pt>
                <c:pt idx="5">
                  <c:v>6773.76</c:v>
                </c:pt>
                <c:pt idx="6">
                  <c:v>6773.76</c:v>
                </c:pt>
                <c:pt idx="7">
                  <c:v>6773.76</c:v>
                </c:pt>
                <c:pt idx="8">
                  <c:v>6773.76</c:v>
                </c:pt>
                <c:pt idx="9">
                  <c:v>6773.76</c:v>
                </c:pt>
                <c:pt idx="10">
                  <c:v>6773.76</c:v>
                </c:pt>
                <c:pt idx="11">
                  <c:v>6773.76</c:v>
                </c:pt>
                <c:pt idx="12">
                  <c:v>6773.76</c:v>
                </c:pt>
                <c:pt idx="13">
                  <c:v>6773.76</c:v>
                </c:pt>
                <c:pt idx="14">
                  <c:v>6773.76</c:v>
                </c:pt>
                <c:pt idx="15">
                  <c:v>6773.76</c:v>
                </c:pt>
                <c:pt idx="16">
                  <c:v>6773.76</c:v>
                </c:pt>
                <c:pt idx="17">
                  <c:v>6773.76</c:v>
                </c:pt>
                <c:pt idx="18">
                  <c:v>6773.76</c:v>
                </c:pt>
                <c:pt idx="19">
                  <c:v>6773.76</c:v>
                </c:pt>
                <c:pt idx="20">
                  <c:v>6773.76</c:v>
                </c:pt>
                <c:pt idx="21">
                  <c:v>6773.76</c:v>
                </c:pt>
                <c:pt idx="22">
                  <c:v>6773.76</c:v>
                </c:pt>
                <c:pt idx="23">
                  <c:v>6773.76</c:v>
                </c:pt>
                <c:pt idx="24">
                  <c:v>6773.76</c:v>
                </c:pt>
                <c:pt idx="25">
                  <c:v>6773.76</c:v>
                </c:pt>
                <c:pt idx="26">
                  <c:v>6773.76</c:v>
                </c:pt>
                <c:pt idx="27">
                  <c:v>6773.76</c:v>
                </c:pt>
                <c:pt idx="28">
                  <c:v>6773.76</c:v>
                </c:pt>
                <c:pt idx="29">
                  <c:v>6773.76</c:v>
                </c:pt>
                <c:pt idx="30">
                  <c:v>6773.76</c:v>
                </c:pt>
                <c:pt idx="31">
                  <c:v>6773.76</c:v>
                </c:pt>
                <c:pt idx="32">
                  <c:v>6773.76</c:v>
                </c:pt>
                <c:pt idx="33">
                  <c:v>6773.76</c:v>
                </c:pt>
                <c:pt idx="34">
                  <c:v>6773.76</c:v>
                </c:pt>
                <c:pt idx="35">
                  <c:v>6773.76</c:v>
                </c:pt>
                <c:pt idx="36">
                  <c:v>6773.76</c:v>
                </c:pt>
                <c:pt idx="37">
                  <c:v>6773.76</c:v>
                </c:pt>
                <c:pt idx="38">
                  <c:v>6773.76</c:v>
                </c:pt>
                <c:pt idx="39">
                  <c:v>6773.76</c:v>
                </c:pt>
                <c:pt idx="40">
                  <c:v>5644.8</c:v>
                </c:pt>
                <c:pt idx="41">
                  <c:v>5644.8</c:v>
                </c:pt>
                <c:pt idx="42">
                  <c:v>5644.8</c:v>
                </c:pt>
                <c:pt idx="43">
                  <c:v>5644.8</c:v>
                </c:pt>
                <c:pt idx="44">
                  <c:v>5644.8</c:v>
                </c:pt>
                <c:pt idx="45">
                  <c:v>5644.8</c:v>
                </c:pt>
                <c:pt idx="46">
                  <c:v>5644.8</c:v>
                </c:pt>
                <c:pt idx="47">
                  <c:v>5644.8</c:v>
                </c:pt>
                <c:pt idx="48">
                  <c:v>5644.8</c:v>
                </c:pt>
                <c:pt idx="49">
                  <c:v>5644.8</c:v>
                </c:pt>
                <c:pt idx="50">
                  <c:v>5644.8</c:v>
                </c:pt>
                <c:pt idx="51">
                  <c:v>5644.8</c:v>
                </c:pt>
                <c:pt idx="52">
                  <c:v>5644.8</c:v>
                </c:pt>
                <c:pt idx="53">
                  <c:v>5644.8</c:v>
                </c:pt>
                <c:pt idx="54">
                  <c:v>5644.8</c:v>
                </c:pt>
                <c:pt idx="55">
                  <c:v>5644.8</c:v>
                </c:pt>
                <c:pt idx="56">
                  <c:v>5644.8</c:v>
                </c:pt>
                <c:pt idx="57">
                  <c:v>5644.8</c:v>
                </c:pt>
                <c:pt idx="58">
                  <c:v>5644.8</c:v>
                </c:pt>
                <c:pt idx="59">
                  <c:v>5644.8</c:v>
                </c:pt>
                <c:pt idx="60">
                  <c:v>5644.8</c:v>
                </c:pt>
                <c:pt idx="61">
                  <c:v>5644.8</c:v>
                </c:pt>
                <c:pt idx="62">
                  <c:v>5644.8</c:v>
                </c:pt>
                <c:pt idx="63">
                  <c:v>5644.8</c:v>
                </c:pt>
                <c:pt idx="64">
                  <c:v>5644.8</c:v>
                </c:pt>
                <c:pt idx="65">
                  <c:v>5644.8</c:v>
                </c:pt>
                <c:pt idx="66">
                  <c:v>5644.8</c:v>
                </c:pt>
                <c:pt idx="67">
                  <c:v>5644.8</c:v>
                </c:pt>
                <c:pt idx="68">
                  <c:v>5644.8</c:v>
                </c:pt>
                <c:pt idx="69">
                  <c:v>5644.8</c:v>
                </c:pt>
                <c:pt idx="70">
                  <c:v>5644.8</c:v>
                </c:pt>
                <c:pt idx="71">
                  <c:v>5644.8</c:v>
                </c:pt>
                <c:pt idx="72">
                  <c:v>5644.8</c:v>
                </c:pt>
                <c:pt idx="73">
                  <c:v>5644.8</c:v>
                </c:pt>
                <c:pt idx="74">
                  <c:v>34182.4</c:v>
                </c:pt>
                <c:pt idx="75">
                  <c:v>34182.4</c:v>
                </c:pt>
                <c:pt idx="76">
                  <c:v>34182.4</c:v>
                </c:pt>
                <c:pt idx="77">
                  <c:v>34182.4</c:v>
                </c:pt>
                <c:pt idx="78">
                  <c:v>34182.4</c:v>
                </c:pt>
                <c:pt idx="79">
                  <c:v>34182.4</c:v>
                </c:pt>
                <c:pt idx="80">
                  <c:v>34182.4</c:v>
                </c:pt>
                <c:pt idx="81">
                  <c:v>34182.4</c:v>
                </c:pt>
                <c:pt idx="82">
                  <c:v>34182.4</c:v>
                </c:pt>
                <c:pt idx="83">
                  <c:v>34182.4</c:v>
                </c:pt>
                <c:pt idx="84">
                  <c:v>34182.4</c:v>
                </c:pt>
                <c:pt idx="85">
                  <c:v>34182.4</c:v>
                </c:pt>
                <c:pt idx="86">
                  <c:v>34182.4</c:v>
                </c:pt>
                <c:pt idx="87">
                  <c:v>34182.4</c:v>
                </c:pt>
                <c:pt idx="88">
                  <c:v>34182.4</c:v>
                </c:pt>
                <c:pt idx="89">
                  <c:v>34182.4</c:v>
                </c:pt>
                <c:pt idx="90">
                  <c:v>34182.4</c:v>
                </c:pt>
                <c:pt idx="91">
                  <c:v>34182.4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4032.0</c:v>
                </c:pt>
                <c:pt idx="41">
                  <c:v>4032.0</c:v>
                </c:pt>
                <c:pt idx="42">
                  <c:v>4032.0</c:v>
                </c:pt>
                <c:pt idx="43">
                  <c:v>4032.0</c:v>
                </c:pt>
                <c:pt idx="44">
                  <c:v>4032.0</c:v>
                </c:pt>
                <c:pt idx="45">
                  <c:v>4032.0</c:v>
                </c:pt>
                <c:pt idx="46">
                  <c:v>4032.0</c:v>
                </c:pt>
                <c:pt idx="47">
                  <c:v>4032.0</c:v>
                </c:pt>
                <c:pt idx="48">
                  <c:v>4032.0</c:v>
                </c:pt>
                <c:pt idx="49">
                  <c:v>4032.0</c:v>
                </c:pt>
                <c:pt idx="50">
                  <c:v>4032.0</c:v>
                </c:pt>
                <c:pt idx="51">
                  <c:v>4032.0</c:v>
                </c:pt>
                <c:pt idx="52">
                  <c:v>4032.0</c:v>
                </c:pt>
                <c:pt idx="53">
                  <c:v>4032.0</c:v>
                </c:pt>
                <c:pt idx="54">
                  <c:v>4032.0</c:v>
                </c:pt>
                <c:pt idx="55">
                  <c:v>4032.0</c:v>
                </c:pt>
                <c:pt idx="56">
                  <c:v>4032.0</c:v>
                </c:pt>
                <c:pt idx="57">
                  <c:v>4032.0</c:v>
                </c:pt>
                <c:pt idx="58">
                  <c:v>4032.0</c:v>
                </c:pt>
                <c:pt idx="59">
                  <c:v>4032.0</c:v>
                </c:pt>
                <c:pt idx="60">
                  <c:v>4032.0</c:v>
                </c:pt>
                <c:pt idx="61">
                  <c:v>4032.0</c:v>
                </c:pt>
                <c:pt idx="62">
                  <c:v>4032.0</c:v>
                </c:pt>
                <c:pt idx="63">
                  <c:v>4032.0</c:v>
                </c:pt>
                <c:pt idx="64">
                  <c:v>4032.0</c:v>
                </c:pt>
                <c:pt idx="65">
                  <c:v>4032.0</c:v>
                </c:pt>
                <c:pt idx="66">
                  <c:v>4032.0</c:v>
                </c:pt>
                <c:pt idx="67">
                  <c:v>4032.0</c:v>
                </c:pt>
                <c:pt idx="68">
                  <c:v>4032.0</c:v>
                </c:pt>
                <c:pt idx="69">
                  <c:v>4032.0</c:v>
                </c:pt>
                <c:pt idx="70">
                  <c:v>4032.0</c:v>
                </c:pt>
                <c:pt idx="71">
                  <c:v>4032.0</c:v>
                </c:pt>
                <c:pt idx="72">
                  <c:v>4032.0</c:v>
                </c:pt>
                <c:pt idx="73">
                  <c:v>4032.0</c:v>
                </c:pt>
                <c:pt idx="74">
                  <c:v>6854.400000000001</c:v>
                </c:pt>
                <c:pt idx="75">
                  <c:v>6854.400000000001</c:v>
                </c:pt>
                <c:pt idx="76">
                  <c:v>6854.400000000001</c:v>
                </c:pt>
                <c:pt idx="77">
                  <c:v>6854.400000000001</c:v>
                </c:pt>
                <c:pt idx="78">
                  <c:v>6854.400000000001</c:v>
                </c:pt>
                <c:pt idx="79">
                  <c:v>6854.400000000001</c:v>
                </c:pt>
                <c:pt idx="80">
                  <c:v>6854.400000000001</c:v>
                </c:pt>
                <c:pt idx="81">
                  <c:v>6854.400000000001</c:v>
                </c:pt>
                <c:pt idx="82">
                  <c:v>6854.400000000001</c:v>
                </c:pt>
                <c:pt idx="83">
                  <c:v>6854.400000000001</c:v>
                </c:pt>
                <c:pt idx="84">
                  <c:v>6854.400000000001</c:v>
                </c:pt>
                <c:pt idx="85">
                  <c:v>6854.400000000001</c:v>
                </c:pt>
                <c:pt idx="86">
                  <c:v>6854.400000000001</c:v>
                </c:pt>
                <c:pt idx="87">
                  <c:v>6854.400000000001</c:v>
                </c:pt>
                <c:pt idx="88">
                  <c:v>6854.400000000001</c:v>
                </c:pt>
                <c:pt idx="89">
                  <c:v>6854.400000000001</c:v>
                </c:pt>
                <c:pt idx="90">
                  <c:v>6854.400000000001</c:v>
                </c:pt>
                <c:pt idx="91">
                  <c:v>6854.400000000001</c:v>
                </c:pt>
                <c:pt idx="92">
                  <c:v>62899.20000000001</c:v>
                </c:pt>
                <c:pt idx="93">
                  <c:v>62899.20000000001</c:v>
                </c:pt>
                <c:pt idx="94">
                  <c:v>62899.20000000001</c:v>
                </c:pt>
                <c:pt idx="95">
                  <c:v>62899.20000000001</c:v>
                </c:pt>
                <c:pt idx="96">
                  <c:v>62899.20000000001</c:v>
                </c:pt>
                <c:pt idx="97">
                  <c:v>62899.20000000001</c:v>
                </c:pt>
                <c:pt idx="98">
                  <c:v>62899.20000000001</c:v>
                </c:pt>
                <c:pt idx="99">
                  <c:v>62899.20000000001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19.75624309392266</c:v>
                </c:pt>
                <c:pt idx="41">
                  <c:v>19.75624309392266</c:v>
                </c:pt>
                <c:pt idx="42">
                  <c:v>19.75624309392266</c:v>
                </c:pt>
                <c:pt idx="43">
                  <c:v>19.75624309392266</c:v>
                </c:pt>
                <c:pt idx="44">
                  <c:v>19.75624309392266</c:v>
                </c:pt>
                <c:pt idx="45">
                  <c:v>19.75624309392266</c:v>
                </c:pt>
                <c:pt idx="46">
                  <c:v>19.75624309392266</c:v>
                </c:pt>
                <c:pt idx="47">
                  <c:v>19.75624309392266</c:v>
                </c:pt>
                <c:pt idx="48">
                  <c:v>19.75624309392266</c:v>
                </c:pt>
                <c:pt idx="49">
                  <c:v>19.75624309392266</c:v>
                </c:pt>
                <c:pt idx="50">
                  <c:v>19.75624309392266</c:v>
                </c:pt>
                <c:pt idx="51">
                  <c:v>19.75624309392266</c:v>
                </c:pt>
                <c:pt idx="52">
                  <c:v>19.75624309392266</c:v>
                </c:pt>
                <c:pt idx="53">
                  <c:v>19.75624309392266</c:v>
                </c:pt>
                <c:pt idx="54">
                  <c:v>19.75624309392266</c:v>
                </c:pt>
                <c:pt idx="55">
                  <c:v>19.75624309392266</c:v>
                </c:pt>
                <c:pt idx="56">
                  <c:v>19.75624309392266</c:v>
                </c:pt>
                <c:pt idx="57">
                  <c:v>19.75624309392266</c:v>
                </c:pt>
                <c:pt idx="58">
                  <c:v>19.75624309392266</c:v>
                </c:pt>
                <c:pt idx="59">
                  <c:v>19.75624309392266</c:v>
                </c:pt>
                <c:pt idx="60">
                  <c:v>19.75624309392266</c:v>
                </c:pt>
                <c:pt idx="61">
                  <c:v>19.75624309392266</c:v>
                </c:pt>
                <c:pt idx="62">
                  <c:v>19.75624309392266</c:v>
                </c:pt>
                <c:pt idx="63">
                  <c:v>19.75624309392266</c:v>
                </c:pt>
                <c:pt idx="64">
                  <c:v>19.75624309392266</c:v>
                </c:pt>
                <c:pt idx="65">
                  <c:v>19.75624309392266</c:v>
                </c:pt>
                <c:pt idx="66">
                  <c:v>19.75624309392266</c:v>
                </c:pt>
                <c:pt idx="67">
                  <c:v>19.75624309392266</c:v>
                </c:pt>
                <c:pt idx="68">
                  <c:v>19.75624309392266</c:v>
                </c:pt>
                <c:pt idx="69">
                  <c:v>19.75624309392266</c:v>
                </c:pt>
                <c:pt idx="70">
                  <c:v>19.75624309392266</c:v>
                </c:pt>
                <c:pt idx="71">
                  <c:v>19.75624309392266</c:v>
                </c:pt>
                <c:pt idx="72">
                  <c:v>19.75624309392266</c:v>
                </c:pt>
                <c:pt idx="73">
                  <c:v>19.75624309392266</c:v>
                </c:pt>
                <c:pt idx="74">
                  <c:v>19.75624309392266</c:v>
                </c:pt>
                <c:pt idx="75">
                  <c:v>19.75624309392266</c:v>
                </c:pt>
                <c:pt idx="76">
                  <c:v>19.75624309392266</c:v>
                </c:pt>
                <c:pt idx="77">
                  <c:v>19.75624309392266</c:v>
                </c:pt>
                <c:pt idx="78">
                  <c:v>19.75624309392266</c:v>
                </c:pt>
                <c:pt idx="79">
                  <c:v>19.75624309392266</c:v>
                </c:pt>
                <c:pt idx="80">
                  <c:v>19.75624309392266</c:v>
                </c:pt>
                <c:pt idx="81">
                  <c:v>19.75624309392266</c:v>
                </c:pt>
                <c:pt idx="82">
                  <c:v>19.75624309392266</c:v>
                </c:pt>
                <c:pt idx="83">
                  <c:v>19.75624309392266</c:v>
                </c:pt>
                <c:pt idx="84">
                  <c:v>19.75624309392266</c:v>
                </c:pt>
                <c:pt idx="85">
                  <c:v>19.75624309392266</c:v>
                </c:pt>
                <c:pt idx="86">
                  <c:v>19.75624309392266</c:v>
                </c:pt>
                <c:pt idx="87">
                  <c:v>19.75624309392266</c:v>
                </c:pt>
                <c:pt idx="88">
                  <c:v>19.75624309392266</c:v>
                </c:pt>
                <c:pt idx="89">
                  <c:v>19.75624309392266</c:v>
                </c:pt>
                <c:pt idx="90">
                  <c:v>19.75624309392266</c:v>
                </c:pt>
                <c:pt idx="91">
                  <c:v>19.75624309392266</c:v>
                </c:pt>
                <c:pt idx="92">
                  <c:v>23.70749171270719</c:v>
                </c:pt>
                <c:pt idx="93">
                  <c:v>23.70749171270719</c:v>
                </c:pt>
                <c:pt idx="94">
                  <c:v>23.70749171270719</c:v>
                </c:pt>
                <c:pt idx="95">
                  <c:v>23.70749171270719</c:v>
                </c:pt>
                <c:pt idx="96">
                  <c:v>23.70749171270719</c:v>
                </c:pt>
                <c:pt idx="97">
                  <c:v>23.70749171270719</c:v>
                </c:pt>
                <c:pt idx="98">
                  <c:v>23.70749171270719</c:v>
                </c:pt>
                <c:pt idx="99">
                  <c:v>23.70749171270719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22976.77558849172</c:v>
                </c:pt>
                <c:pt idx="1">
                  <c:v>22976.77558849172</c:v>
                </c:pt>
                <c:pt idx="2">
                  <c:v>22976.77558849172</c:v>
                </c:pt>
                <c:pt idx="3">
                  <c:v>22976.77558849172</c:v>
                </c:pt>
                <c:pt idx="4">
                  <c:v>22976.77558849172</c:v>
                </c:pt>
                <c:pt idx="5">
                  <c:v>22976.77558849172</c:v>
                </c:pt>
                <c:pt idx="6">
                  <c:v>22976.77558849172</c:v>
                </c:pt>
                <c:pt idx="7">
                  <c:v>22976.77558849172</c:v>
                </c:pt>
                <c:pt idx="8">
                  <c:v>22976.77558849172</c:v>
                </c:pt>
                <c:pt idx="9">
                  <c:v>22976.77558849172</c:v>
                </c:pt>
                <c:pt idx="10">
                  <c:v>22976.77558849172</c:v>
                </c:pt>
                <c:pt idx="11">
                  <c:v>22976.77558849172</c:v>
                </c:pt>
                <c:pt idx="12">
                  <c:v>22976.77558849172</c:v>
                </c:pt>
                <c:pt idx="13">
                  <c:v>22976.77558849172</c:v>
                </c:pt>
                <c:pt idx="14">
                  <c:v>22976.77558849172</c:v>
                </c:pt>
                <c:pt idx="15">
                  <c:v>22976.77558849172</c:v>
                </c:pt>
                <c:pt idx="16">
                  <c:v>22976.77558849172</c:v>
                </c:pt>
                <c:pt idx="17">
                  <c:v>22976.77558849172</c:v>
                </c:pt>
                <c:pt idx="18">
                  <c:v>22976.77558849172</c:v>
                </c:pt>
                <c:pt idx="19">
                  <c:v>22976.77558849172</c:v>
                </c:pt>
                <c:pt idx="20">
                  <c:v>22976.77558849172</c:v>
                </c:pt>
                <c:pt idx="21">
                  <c:v>22976.77558849172</c:v>
                </c:pt>
                <c:pt idx="22">
                  <c:v>22976.77558849172</c:v>
                </c:pt>
                <c:pt idx="23">
                  <c:v>22976.77558849172</c:v>
                </c:pt>
                <c:pt idx="24">
                  <c:v>22976.77558849172</c:v>
                </c:pt>
                <c:pt idx="25">
                  <c:v>22976.77558849172</c:v>
                </c:pt>
                <c:pt idx="26">
                  <c:v>22976.77558849172</c:v>
                </c:pt>
                <c:pt idx="27">
                  <c:v>22976.77558849172</c:v>
                </c:pt>
                <c:pt idx="28">
                  <c:v>22976.77558849172</c:v>
                </c:pt>
                <c:pt idx="29">
                  <c:v>22976.77558849172</c:v>
                </c:pt>
                <c:pt idx="30">
                  <c:v>22976.77558849172</c:v>
                </c:pt>
                <c:pt idx="31">
                  <c:v>22976.77558849172</c:v>
                </c:pt>
                <c:pt idx="32">
                  <c:v>22976.77558849172</c:v>
                </c:pt>
                <c:pt idx="33">
                  <c:v>22976.77558849172</c:v>
                </c:pt>
                <c:pt idx="34">
                  <c:v>22976.77558849172</c:v>
                </c:pt>
                <c:pt idx="35">
                  <c:v>22976.77558849172</c:v>
                </c:pt>
                <c:pt idx="36">
                  <c:v>22976.77558849172</c:v>
                </c:pt>
                <c:pt idx="37">
                  <c:v>22976.77558849172</c:v>
                </c:pt>
                <c:pt idx="38">
                  <c:v>22976.77558849172</c:v>
                </c:pt>
                <c:pt idx="39">
                  <c:v>22976.77558849172</c:v>
                </c:pt>
                <c:pt idx="40">
                  <c:v>20817.06015693113</c:v>
                </c:pt>
                <c:pt idx="41">
                  <c:v>20817.06015693113</c:v>
                </c:pt>
                <c:pt idx="42">
                  <c:v>20817.06015693113</c:v>
                </c:pt>
                <c:pt idx="43">
                  <c:v>20817.06015693113</c:v>
                </c:pt>
                <c:pt idx="44">
                  <c:v>20817.06015693113</c:v>
                </c:pt>
                <c:pt idx="45">
                  <c:v>20817.06015693113</c:v>
                </c:pt>
                <c:pt idx="46">
                  <c:v>20817.06015693113</c:v>
                </c:pt>
                <c:pt idx="47">
                  <c:v>20817.06015693113</c:v>
                </c:pt>
                <c:pt idx="48">
                  <c:v>20817.06015693113</c:v>
                </c:pt>
                <c:pt idx="49">
                  <c:v>20817.06015693113</c:v>
                </c:pt>
                <c:pt idx="50">
                  <c:v>20817.06015693113</c:v>
                </c:pt>
                <c:pt idx="51">
                  <c:v>20817.06015693113</c:v>
                </c:pt>
                <c:pt idx="52">
                  <c:v>20817.06015693113</c:v>
                </c:pt>
                <c:pt idx="53">
                  <c:v>20817.06015693113</c:v>
                </c:pt>
                <c:pt idx="54">
                  <c:v>20817.06015693113</c:v>
                </c:pt>
                <c:pt idx="55">
                  <c:v>20817.06015693113</c:v>
                </c:pt>
                <c:pt idx="56">
                  <c:v>20817.06015693113</c:v>
                </c:pt>
                <c:pt idx="57">
                  <c:v>20817.06015693113</c:v>
                </c:pt>
                <c:pt idx="58">
                  <c:v>20817.06015693113</c:v>
                </c:pt>
                <c:pt idx="59">
                  <c:v>20817.06015693113</c:v>
                </c:pt>
                <c:pt idx="60">
                  <c:v>20817.06015693113</c:v>
                </c:pt>
                <c:pt idx="61">
                  <c:v>20817.06015693113</c:v>
                </c:pt>
                <c:pt idx="62">
                  <c:v>20817.06015693113</c:v>
                </c:pt>
                <c:pt idx="63">
                  <c:v>20817.06015693113</c:v>
                </c:pt>
                <c:pt idx="64">
                  <c:v>20817.06015693113</c:v>
                </c:pt>
                <c:pt idx="65">
                  <c:v>20817.06015693113</c:v>
                </c:pt>
                <c:pt idx="66">
                  <c:v>20817.06015693113</c:v>
                </c:pt>
                <c:pt idx="67">
                  <c:v>20817.06015693113</c:v>
                </c:pt>
                <c:pt idx="68">
                  <c:v>20817.06015693113</c:v>
                </c:pt>
                <c:pt idx="69">
                  <c:v>20817.06015693113</c:v>
                </c:pt>
                <c:pt idx="70">
                  <c:v>20817.06015693113</c:v>
                </c:pt>
                <c:pt idx="71">
                  <c:v>20817.06015693113</c:v>
                </c:pt>
                <c:pt idx="72">
                  <c:v>20817.06015693113</c:v>
                </c:pt>
                <c:pt idx="73">
                  <c:v>20817.06015693113</c:v>
                </c:pt>
                <c:pt idx="74">
                  <c:v>9310.451612903227</c:v>
                </c:pt>
                <c:pt idx="75">
                  <c:v>9310.451612903227</c:v>
                </c:pt>
                <c:pt idx="76">
                  <c:v>9310.451612903227</c:v>
                </c:pt>
                <c:pt idx="77">
                  <c:v>9310.451612903227</c:v>
                </c:pt>
                <c:pt idx="78">
                  <c:v>9310.451612903227</c:v>
                </c:pt>
                <c:pt idx="79">
                  <c:v>9310.451612903227</c:v>
                </c:pt>
                <c:pt idx="80">
                  <c:v>9310.451612903227</c:v>
                </c:pt>
                <c:pt idx="81">
                  <c:v>9310.451612903227</c:v>
                </c:pt>
                <c:pt idx="82">
                  <c:v>9310.451612903227</c:v>
                </c:pt>
                <c:pt idx="83">
                  <c:v>9310.451612903227</c:v>
                </c:pt>
                <c:pt idx="84">
                  <c:v>9310.451612903227</c:v>
                </c:pt>
                <c:pt idx="85">
                  <c:v>9310.451612903227</c:v>
                </c:pt>
                <c:pt idx="86">
                  <c:v>9310.451612903227</c:v>
                </c:pt>
                <c:pt idx="87">
                  <c:v>9310.451612903227</c:v>
                </c:pt>
                <c:pt idx="88">
                  <c:v>9310.451612903227</c:v>
                </c:pt>
                <c:pt idx="89">
                  <c:v>9310.451612903227</c:v>
                </c:pt>
                <c:pt idx="90">
                  <c:v>9310.451612903227</c:v>
                </c:pt>
                <c:pt idx="91">
                  <c:v>9310.451612903227</c:v>
                </c:pt>
                <c:pt idx="92">
                  <c:v>11172.54193548387</c:v>
                </c:pt>
                <c:pt idx="93">
                  <c:v>11172.54193548387</c:v>
                </c:pt>
                <c:pt idx="94">
                  <c:v>11172.54193548387</c:v>
                </c:pt>
                <c:pt idx="95">
                  <c:v>11172.54193548387</c:v>
                </c:pt>
                <c:pt idx="96">
                  <c:v>11172.54193548387</c:v>
                </c:pt>
                <c:pt idx="97">
                  <c:v>11172.54193548387</c:v>
                </c:pt>
                <c:pt idx="98">
                  <c:v>11172.54193548387</c:v>
                </c:pt>
                <c:pt idx="99">
                  <c:v>11172.54193548387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5713496"/>
        <c:axId val="187571684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21863.86968686116</c:v>
                </c:pt>
                <c:pt idx="1">
                  <c:v>21863.86968686116</c:v>
                </c:pt>
                <c:pt idx="2">
                  <c:v>21863.86968686116</c:v>
                </c:pt>
                <c:pt idx="3">
                  <c:v>21863.86968686116</c:v>
                </c:pt>
                <c:pt idx="4">
                  <c:v>21863.86968686116</c:v>
                </c:pt>
                <c:pt idx="5">
                  <c:v>21863.86968686116</c:v>
                </c:pt>
                <c:pt idx="6">
                  <c:v>21863.86968686116</c:v>
                </c:pt>
                <c:pt idx="7">
                  <c:v>21863.86968686116</c:v>
                </c:pt>
                <c:pt idx="8">
                  <c:v>21863.86968686116</c:v>
                </c:pt>
                <c:pt idx="9">
                  <c:v>21863.86968686116</c:v>
                </c:pt>
                <c:pt idx="10">
                  <c:v>21863.86968686116</c:v>
                </c:pt>
                <c:pt idx="11">
                  <c:v>21863.86968686116</c:v>
                </c:pt>
                <c:pt idx="12">
                  <c:v>21863.86968686116</c:v>
                </c:pt>
                <c:pt idx="13">
                  <c:v>21863.86968686116</c:v>
                </c:pt>
                <c:pt idx="14">
                  <c:v>21863.86968686116</c:v>
                </c:pt>
                <c:pt idx="15">
                  <c:v>21863.86968686116</c:v>
                </c:pt>
                <c:pt idx="16">
                  <c:v>21863.86968686116</c:v>
                </c:pt>
                <c:pt idx="17">
                  <c:v>21863.86968686116</c:v>
                </c:pt>
                <c:pt idx="18">
                  <c:v>21863.86968686116</c:v>
                </c:pt>
                <c:pt idx="19">
                  <c:v>21863.86968686116</c:v>
                </c:pt>
                <c:pt idx="20">
                  <c:v>21863.86968686116</c:v>
                </c:pt>
                <c:pt idx="21">
                  <c:v>21863.86968686116</c:v>
                </c:pt>
                <c:pt idx="22">
                  <c:v>21863.86968686116</c:v>
                </c:pt>
                <c:pt idx="23">
                  <c:v>21863.86968686116</c:v>
                </c:pt>
                <c:pt idx="24">
                  <c:v>21863.86968686116</c:v>
                </c:pt>
                <c:pt idx="25">
                  <c:v>21863.86968686116</c:v>
                </c:pt>
                <c:pt idx="26">
                  <c:v>21863.86968686116</c:v>
                </c:pt>
                <c:pt idx="27">
                  <c:v>21863.86968686116</c:v>
                </c:pt>
                <c:pt idx="28">
                  <c:v>21863.86968686116</c:v>
                </c:pt>
                <c:pt idx="29">
                  <c:v>21863.86968686116</c:v>
                </c:pt>
                <c:pt idx="30">
                  <c:v>21863.86968686116</c:v>
                </c:pt>
                <c:pt idx="31">
                  <c:v>21863.86968686116</c:v>
                </c:pt>
                <c:pt idx="32">
                  <c:v>21863.86968686116</c:v>
                </c:pt>
                <c:pt idx="33">
                  <c:v>21863.86968686116</c:v>
                </c:pt>
                <c:pt idx="34">
                  <c:v>21863.86968686116</c:v>
                </c:pt>
                <c:pt idx="35">
                  <c:v>21863.86968686116</c:v>
                </c:pt>
                <c:pt idx="36">
                  <c:v>21863.86968686116</c:v>
                </c:pt>
                <c:pt idx="37">
                  <c:v>21863.86968686116</c:v>
                </c:pt>
                <c:pt idx="38">
                  <c:v>21863.86968686116</c:v>
                </c:pt>
                <c:pt idx="39">
                  <c:v>21863.86968686116</c:v>
                </c:pt>
                <c:pt idx="40">
                  <c:v>21863.86968686116</c:v>
                </c:pt>
                <c:pt idx="41">
                  <c:v>21863.86968686116</c:v>
                </c:pt>
                <c:pt idx="42">
                  <c:v>21863.86968686116</c:v>
                </c:pt>
                <c:pt idx="43">
                  <c:v>21863.86968686116</c:v>
                </c:pt>
                <c:pt idx="44">
                  <c:v>21863.86968686116</c:v>
                </c:pt>
                <c:pt idx="45">
                  <c:v>21863.86968686116</c:v>
                </c:pt>
                <c:pt idx="46">
                  <c:v>21863.86968686116</c:v>
                </c:pt>
                <c:pt idx="47">
                  <c:v>21863.86968686116</c:v>
                </c:pt>
                <c:pt idx="48">
                  <c:v>21863.86968686116</c:v>
                </c:pt>
                <c:pt idx="49">
                  <c:v>21863.86968686116</c:v>
                </c:pt>
                <c:pt idx="50">
                  <c:v>21863.86968686116</c:v>
                </c:pt>
                <c:pt idx="51">
                  <c:v>21863.86968686116</c:v>
                </c:pt>
                <c:pt idx="52">
                  <c:v>21863.86968686116</c:v>
                </c:pt>
                <c:pt idx="53">
                  <c:v>21863.86968686116</c:v>
                </c:pt>
                <c:pt idx="54">
                  <c:v>21863.86968686116</c:v>
                </c:pt>
                <c:pt idx="55">
                  <c:v>21863.86968686116</c:v>
                </c:pt>
                <c:pt idx="56">
                  <c:v>21863.86968686116</c:v>
                </c:pt>
                <c:pt idx="57">
                  <c:v>21863.86968686116</c:v>
                </c:pt>
                <c:pt idx="58">
                  <c:v>21863.86968686116</c:v>
                </c:pt>
                <c:pt idx="59">
                  <c:v>21863.86968686116</c:v>
                </c:pt>
                <c:pt idx="60">
                  <c:v>21863.86968686116</c:v>
                </c:pt>
                <c:pt idx="61">
                  <c:v>21863.86968686116</c:v>
                </c:pt>
                <c:pt idx="62">
                  <c:v>21863.86968686116</c:v>
                </c:pt>
                <c:pt idx="63">
                  <c:v>21863.86968686116</c:v>
                </c:pt>
                <c:pt idx="64">
                  <c:v>21863.86968686116</c:v>
                </c:pt>
                <c:pt idx="65">
                  <c:v>21863.86968686116</c:v>
                </c:pt>
                <c:pt idx="66">
                  <c:v>21863.86968686116</c:v>
                </c:pt>
                <c:pt idx="67">
                  <c:v>21863.86968686116</c:v>
                </c:pt>
                <c:pt idx="68">
                  <c:v>21863.86968686116</c:v>
                </c:pt>
                <c:pt idx="69">
                  <c:v>21863.86968686116</c:v>
                </c:pt>
                <c:pt idx="70">
                  <c:v>21863.86968686116</c:v>
                </c:pt>
                <c:pt idx="71">
                  <c:v>21863.86968686116</c:v>
                </c:pt>
                <c:pt idx="72">
                  <c:v>21863.86968686116</c:v>
                </c:pt>
                <c:pt idx="73">
                  <c:v>21863.86968686116</c:v>
                </c:pt>
                <c:pt idx="74">
                  <c:v>21863.86968686116</c:v>
                </c:pt>
                <c:pt idx="75">
                  <c:v>21863.86968686116</c:v>
                </c:pt>
                <c:pt idx="76">
                  <c:v>21863.86968686116</c:v>
                </c:pt>
                <c:pt idx="77">
                  <c:v>21863.86968686116</c:v>
                </c:pt>
                <c:pt idx="78">
                  <c:v>21863.86968686116</c:v>
                </c:pt>
                <c:pt idx="79">
                  <c:v>21863.86968686116</c:v>
                </c:pt>
                <c:pt idx="80">
                  <c:v>21863.86968686116</c:v>
                </c:pt>
                <c:pt idx="81">
                  <c:v>21863.86968686116</c:v>
                </c:pt>
                <c:pt idx="82">
                  <c:v>21863.86968686116</c:v>
                </c:pt>
                <c:pt idx="83">
                  <c:v>21863.86968686116</c:v>
                </c:pt>
                <c:pt idx="84">
                  <c:v>21863.86968686116</c:v>
                </c:pt>
                <c:pt idx="85">
                  <c:v>21863.86968686116</c:v>
                </c:pt>
                <c:pt idx="86">
                  <c:v>21863.86968686116</c:v>
                </c:pt>
                <c:pt idx="87">
                  <c:v>21863.86968686116</c:v>
                </c:pt>
                <c:pt idx="88">
                  <c:v>21863.86968686116</c:v>
                </c:pt>
                <c:pt idx="89">
                  <c:v>21863.86968686116</c:v>
                </c:pt>
                <c:pt idx="90">
                  <c:v>21863.86968686116</c:v>
                </c:pt>
                <c:pt idx="91">
                  <c:v>21863.86968686116</c:v>
                </c:pt>
                <c:pt idx="92">
                  <c:v>21863.86968686116</c:v>
                </c:pt>
                <c:pt idx="93">
                  <c:v>21863.86968686116</c:v>
                </c:pt>
                <c:pt idx="94">
                  <c:v>21863.86968686116</c:v>
                </c:pt>
                <c:pt idx="95">
                  <c:v>21863.86968686116</c:v>
                </c:pt>
                <c:pt idx="96">
                  <c:v>21863.86968686116</c:v>
                </c:pt>
                <c:pt idx="97">
                  <c:v>21863.86968686116</c:v>
                </c:pt>
                <c:pt idx="98">
                  <c:v>21863.86968686116</c:v>
                </c:pt>
                <c:pt idx="99">
                  <c:v>21863.86968686116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713496"/>
        <c:axId val="187571684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39953.72828332268</c:v>
                </c:pt>
                <c:pt idx="8">
                  <c:v>40275.61474722522</c:v>
                </c:pt>
                <c:pt idx="9">
                  <c:v>40597.50121112775</c:v>
                </c:pt>
                <c:pt idx="10">
                  <c:v>40919.3876750303</c:v>
                </c:pt>
                <c:pt idx="11">
                  <c:v>41241.27413893284</c:v>
                </c:pt>
                <c:pt idx="12">
                  <c:v>41563.16060283538</c:v>
                </c:pt>
                <c:pt idx="13">
                  <c:v>41885.04706673791</c:v>
                </c:pt>
                <c:pt idx="14">
                  <c:v>42206.93353064045</c:v>
                </c:pt>
                <c:pt idx="15">
                  <c:v>42528.819994543</c:v>
                </c:pt>
                <c:pt idx="16">
                  <c:v>42850.70645844553</c:v>
                </c:pt>
                <c:pt idx="17">
                  <c:v>43172.59292234807</c:v>
                </c:pt>
                <c:pt idx="18">
                  <c:v>43494.47938625061</c:v>
                </c:pt>
                <c:pt idx="19">
                  <c:v>43816.36585015315</c:v>
                </c:pt>
                <c:pt idx="20">
                  <c:v>44138.25231405569</c:v>
                </c:pt>
                <c:pt idx="21">
                  <c:v>44460.13877795823</c:v>
                </c:pt>
                <c:pt idx="22">
                  <c:v>44782.02524186077</c:v>
                </c:pt>
                <c:pt idx="23">
                  <c:v>45103.91170576331</c:v>
                </c:pt>
                <c:pt idx="24">
                  <c:v>45425.79816966585</c:v>
                </c:pt>
                <c:pt idx="25">
                  <c:v>45747.68463356839</c:v>
                </c:pt>
                <c:pt idx="26">
                  <c:v>46069.57109747092</c:v>
                </c:pt>
                <c:pt idx="27">
                  <c:v>46391.45756137346</c:v>
                </c:pt>
                <c:pt idx="28">
                  <c:v>46713.344025276</c:v>
                </c:pt>
                <c:pt idx="29">
                  <c:v>47035.23048917855</c:v>
                </c:pt>
                <c:pt idx="30">
                  <c:v>47357.11695308109</c:v>
                </c:pt>
                <c:pt idx="31">
                  <c:v>47679.00341698363</c:v>
                </c:pt>
                <c:pt idx="32">
                  <c:v>48000.88988088616</c:v>
                </c:pt>
                <c:pt idx="33">
                  <c:v>48322.7763447887</c:v>
                </c:pt>
                <c:pt idx="34">
                  <c:v>48644.66280869124</c:v>
                </c:pt>
                <c:pt idx="35">
                  <c:v>48966.54927259378</c:v>
                </c:pt>
                <c:pt idx="36">
                  <c:v>49288.43573649632</c:v>
                </c:pt>
                <c:pt idx="37">
                  <c:v>49610.32220039886</c:v>
                </c:pt>
                <c:pt idx="38">
                  <c:v>49932.2086643014</c:v>
                </c:pt>
                <c:pt idx="39">
                  <c:v>50254.09512820394</c:v>
                </c:pt>
                <c:pt idx="40">
                  <c:v>50575.98159210648</c:v>
                </c:pt>
                <c:pt idx="41">
                  <c:v>50897.86805600902</c:v>
                </c:pt>
                <c:pt idx="42">
                  <c:v>51219.75451991155</c:v>
                </c:pt>
                <c:pt idx="43">
                  <c:v>51541.6409838141</c:v>
                </c:pt>
                <c:pt idx="44">
                  <c:v>51863.52744771664</c:v>
                </c:pt>
                <c:pt idx="45">
                  <c:v>55907.38875868195</c:v>
                </c:pt>
                <c:pt idx="46">
                  <c:v>59951.25006964726</c:v>
                </c:pt>
                <c:pt idx="47">
                  <c:v>63995.11138061256</c:v>
                </c:pt>
                <c:pt idx="48">
                  <c:v>68038.97269157786</c:v>
                </c:pt>
                <c:pt idx="49">
                  <c:v>72082.83400254318</c:v>
                </c:pt>
                <c:pt idx="50">
                  <c:v>76126.69531350847</c:v>
                </c:pt>
                <c:pt idx="51">
                  <c:v>80170.55662447379</c:v>
                </c:pt>
                <c:pt idx="52">
                  <c:v>84214.41793543909</c:v>
                </c:pt>
                <c:pt idx="53">
                  <c:v>88258.2792464044</c:v>
                </c:pt>
                <c:pt idx="54">
                  <c:v>92302.14055736971</c:v>
                </c:pt>
                <c:pt idx="55">
                  <c:v>96346.001868335</c:v>
                </c:pt>
                <c:pt idx="56">
                  <c:v>100389.8631793003</c:v>
                </c:pt>
                <c:pt idx="57">
                  <c:v>104433.7244902656</c:v>
                </c:pt>
                <c:pt idx="58">
                  <c:v>108477.5858012309</c:v>
                </c:pt>
                <c:pt idx="59">
                  <c:v>112521.4471121962</c:v>
                </c:pt>
                <c:pt idx="60">
                  <c:v>116565.3084231616</c:v>
                </c:pt>
                <c:pt idx="61">
                  <c:v>120609.1697341269</c:v>
                </c:pt>
                <c:pt idx="62">
                  <c:v>124653.0310450922</c:v>
                </c:pt>
                <c:pt idx="63">
                  <c:v>128696.8923560575</c:v>
                </c:pt>
                <c:pt idx="64">
                  <c:v>132740.7536670228</c:v>
                </c:pt>
                <c:pt idx="65">
                  <c:v>136784.6149779881</c:v>
                </c:pt>
                <c:pt idx="66">
                  <c:v>140828.4762889534</c:v>
                </c:pt>
                <c:pt idx="67">
                  <c:v>144872.3375999187</c:v>
                </c:pt>
                <c:pt idx="68">
                  <c:v>148916.198910884</c:v>
                </c:pt>
                <c:pt idx="69">
                  <c:v>152960.0602218493</c:v>
                </c:pt>
                <c:pt idx="70">
                  <c:v>157003.9215328146</c:v>
                </c:pt>
                <c:pt idx="71">
                  <c:v>180518.7304057417</c:v>
                </c:pt>
                <c:pt idx="72">
                  <c:v>204033.5392786688</c:v>
                </c:pt>
                <c:pt idx="73">
                  <c:v>227548.348151596</c:v>
                </c:pt>
                <c:pt idx="74">
                  <c:v>251063.1570245231</c:v>
                </c:pt>
                <c:pt idx="75">
                  <c:v>274577.9658974502</c:v>
                </c:pt>
                <c:pt idx="76">
                  <c:v>298092.7747703773</c:v>
                </c:pt>
                <c:pt idx="77">
                  <c:v>321607.5836433044</c:v>
                </c:pt>
                <c:pt idx="78">
                  <c:v>345122.3925162315</c:v>
                </c:pt>
                <c:pt idx="79">
                  <c:v>368637.2013891586</c:v>
                </c:pt>
                <c:pt idx="80">
                  <c:v>392152.0102620857</c:v>
                </c:pt>
                <c:pt idx="81">
                  <c:v>415666.8191350129</c:v>
                </c:pt>
                <c:pt idx="82">
                  <c:v>439181.62800794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713496"/>
        <c:axId val="1875716840"/>
      </c:scatterChart>
      <c:catAx>
        <c:axId val="18757134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757168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757168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757134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344.9526948309526</c:v>
                </c:pt>
                <c:pt idx="1">
                  <c:v>344.9526948309526</c:v>
                </c:pt>
                <c:pt idx="2">
                  <c:v>344.9526948309526</c:v>
                </c:pt>
                <c:pt idx="3">
                  <c:v>344.9526948309526</c:v>
                </c:pt>
                <c:pt idx="4">
                  <c:v>344.9526948309526</c:v>
                </c:pt>
                <c:pt idx="5">
                  <c:v>344.9526948309526</c:v>
                </c:pt>
                <c:pt idx="6">
                  <c:v>344.9526948309526</c:v>
                </c:pt>
                <c:pt idx="7">
                  <c:v>344.9526948309526</c:v>
                </c:pt>
                <c:pt idx="8">
                  <c:v>344.9526948309526</c:v>
                </c:pt>
                <c:pt idx="9">
                  <c:v>344.9526948309526</c:v>
                </c:pt>
                <c:pt idx="10">
                  <c:v>344.9526948309526</c:v>
                </c:pt>
                <c:pt idx="11">
                  <c:v>344.9526948309526</c:v>
                </c:pt>
                <c:pt idx="12">
                  <c:v>344.9526948309526</c:v>
                </c:pt>
                <c:pt idx="13">
                  <c:v>344.9526948309526</c:v>
                </c:pt>
                <c:pt idx="14">
                  <c:v>344.9526948309526</c:v>
                </c:pt>
                <c:pt idx="15">
                  <c:v>344.9526948309526</c:v>
                </c:pt>
                <c:pt idx="16">
                  <c:v>344.9526948309526</c:v>
                </c:pt>
                <c:pt idx="17">
                  <c:v>344.9526948309526</c:v>
                </c:pt>
                <c:pt idx="18">
                  <c:v>344.9526948309526</c:v>
                </c:pt>
                <c:pt idx="19">
                  <c:v>344.9526948309526</c:v>
                </c:pt>
                <c:pt idx="20">
                  <c:v>344.9526948309526</c:v>
                </c:pt>
                <c:pt idx="21">
                  <c:v>407.3225883712343</c:v>
                </c:pt>
                <c:pt idx="22">
                  <c:v>469.692481911516</c:v>
                </c:pt>
                <c:pt idx="23">
                  <c:v>532.0623754517976</c:v>
                </c:pt>
                <c:pt idx="24">
                  <c:v>594.4322689920793</c:v>
                </c:pt>
                <c:pt idx="25">
                  <c:v>656.802162532361</c:v>
                </c:pt>
                <c:pt idx="26">
                  <c:v>719.1720560726427</c:v>
                </c:pt>
                <c:pt idx="27">
                  <c:v>781.5419496129243</c:v>
                </c:pt>
                <c:pt idx="28">
                  <c:v>843.9118431532061</c:v>
                </c:pt>
                <c:pt idx="29">
                  <c:v>906.2817366934876</c:v>
                </c:pt>
                <c:pt idx="30">
                  <c:v>968.6516302337693</c:v>
                </c:pt>
                <c:pt idx="31">
                  <c:v>1031.021523774051</c:v>
                </c:pt>
                <c:pt idx="32">
                  <c:v>1093.391417314333</c:v>
                </c:pt>
                <c:pt idx="33">
                  <c:v>1155.761310854614</c:v>
                </c:pt>
                <c:pt idx="34">
                  <c:v>1218.131204394896</c:v>
                </c:pt>
                <c:pt idx="35">
                  <c:v>1280.501097935178</c:v>
                </c:pt>
                <c:pt idx="36">
                  <c:v>1342.87099147546</c:v>
                </c:pt>
                <c:pt idx="37">
                  <c:v>1405.240885015741</c:v>
                </c:pt>
                <c:pt idx="38">
                  <c:v>1467.610778556023</c:v>
                </c:pt>
                <c:pt idx="39">
                  <c:v>1529.980672096304</c:v>
                </c:pt>
                <c:pt idx="40">
                  <c:v>1592.350565636586</c:v>
                </c:pt>
                <c:pt idx="41">
                  <c:v>1654.720459176868</c:v>
                </c:pt>
                <c:pt idx="42">
                  <c:v>1717.090352717149</c:v>
                </c:pt>
                <c:pt idx="43">
                  <c:v>1779.460246257431</c:v>
                </c:pt>
                <c:pt idx="44">
                  <c:v>1841.830139797713</c:v>
                </c:pt>
                <c:pt idx="45">
                  <c:v>1904.200033337994</c:v>
                </c:pt>
                <c:pt idx="46">
                  <c:v>1966.569926878276</c:v>
                </c:pt>
                <c:pt idx="47">
                  <c:v>2028.939820418558</c:v>
                </c:pt>
                <c:pt idx="48">
                  <c:v>2091.30971395884</c:v>
                </c:pt>
                <c:pt idx="49">
                  <c:v>2153.679607499122</c:v>
                </c:pt>
                <c:pt idx="50">
                  <c:v>2216.049501039402</c:v>
                </c:pt>
                <c:pt idx="51">
                  <c:v>2278.419394579684</c:v>
                </c:pt>
                <c:pt idx="52">
                  <c:v>2340.789288119966</c:v>
                </c:pt>
                <c:pt idx="53">
                  <c:v>2403.159181660248</c:v>
                </c:pt>
                <c:pt idx="54">
                  <c:v>2465.52907520053</c:v>
                </c:pt>
                <c:pt idx="55">
                  <c:v>2527.898968740811</c:v>
                </c:pt>
                <c:pt idx="56">
                  <c:v>2590.268862281093</c:v>
                </c:pt>
                <c:pt idx="57">
                  <c:v>2652.638755821375</c:v>
                </c:pt>
                <c:pt idx="58">
                  <c:v>2708.437185318755</c:v>
                </c:pt>
                <c:pt idx="59">
                  <c:v>2764.235614816137</c:v>
                </c:pt>
                <c:pt idx="60">
                  <c:v>2820.034044313517</c:v>
                </c:pt>
                <c:pt idx="61">
                  <c:v>2875.832473810898</c:v>
                </c:pt>
                <c:pt idx="62">
                  <c:v>2931.630903308279</c:v>
                </c:pt>
                <c:pt idx="63">
                  <c:v>2987.42933280566</c:v>
                </c:pt>
                <c:pt idx="64">
                  <c:v>3043.227762303041</c:v>
                </c:pt>
                <c:pt idx="65">
                  <c:v>3099.026191800422</c:v>
                </c:pt>
                <c:pt idx="66">
                  <c:v>3154.824621297803</c:v>
                </c:pt>
                <c:pt idx="67">
                  <c:v>3210.623050795184</c:v>
                </c:pt>
                <c:pt idx="68">
                  <c:v>3266.421480292564</c:v>
                </c:pt>
                <c:pt idx="69">
                  <c:v>3322.219909789946</c:v>
                </c:pt>
                <c:pt idx="70">
                  <c:v>3378.018339287326</c:v>
                </c:pt>
                <c:pt idx="71">
                  <c:v>3433.816768784707</c:v>
                </c:pt>
                <c:pt idx="72">
                  <c:v>3489.615198282088</c:v>
                </c:pt>
                <c:pt idx="73">
                  <c:v>3545.41362777947</c:v>
                </c:pt>
                <c:pt idx="74">
                  <c:v>3601.21205727685</c:v>
                </c:pt>
                <c:pt idx="75">
                  <c:v>3657.010486774231</c:v>
                </c:pt>
                <c:pt idx="76">
                  <c:v>3712.808916271612</c:v>
                </c:pt>
                <c:pt idx="77">
                  <c:v>3768.607345768993</c:v>
                </c:pt>
                <c:pt idx="78">
                  <c:v>3824.405775266374</c:v>
                </c:pt>
                <c:pt idx="79">
                  <c:v>3880.204204763754</c:v>
                </c:pt>
                <c:pt idx="80">
                  <c:v>3936.002634261135</c:v>
                </c:pt>
                <c:pt idx="81">
                  <c:v>3991.801063758517</c:v>
                </c:pt>
                <c:pt idx="82">
                  <c:v>4047.599493255897</c:v>
                </c:pt>
                <c:pt idx="83">
                  <c:v>4103.397922753278</c:v>
                </c:pt>
                <c:pt idx="84">
                  <c:v>4091.05392276887</c:v>
                </c:pt>
                <c:pt idx="85">
                  <c:v>4078.709922784461</c:v>
                </c:pt>
                <c:pt idx="86">
                  <c:v>4066.365922800052</c:v>
                </c:pt>
                <c:pt idx="87">
                  <c:v>4054.021922815644</c:v>
                </c:pt>
                <c:pt idx="88">
                  <c:v>4041.677922831235</c:v>
                </c:pt>
                <c:pt idx="89">
                  <c:v>4029.333922846826</c:v>
                </c:pt>
                <c:pt idx="90">
                  <c:v>4016.989922862418</c:v>
                </c:pt>
                <c:pt idx="91">
                  <c:v>4004.64592287801</c:v>
                </c:pt>
                <c:pt idx="92">
                  <c:v>3992.301922893601</c:v>
                </c:pt>
                <c:pt idx="93">
                  <c:v>3979.957922909193</c:v>
                </c:pt>
                <c:pt idx="94">
                  <c:v>3967.613922924784</c:v>
                </c:pt>
                <c:pt idx="95">
                  <c:v>3955.269922940376</c:v>
                </c:pt>
                <c:pt idx="96">
                  <c:v>3942.925922955967</c:v>
                </c:pt>
                <c:pt idx="97">
                  <c:v>3942.925922955967</c:v>
                </c:pt>
                <c:pt idx="98">
                  <c:v>3942.925922955967</c:v>
                </c:pt>
                <c:pt idx="99">
                  <c:v>3942.925922955967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372.1846153846154</c:v>
                </c:pt>
                <c:pt idx="85">
                  <c:v>744.3692307692307</c:v>
                </c:pt>
                <c:pt idx="86">
                  <c:v>1116.553846153846</c:v>
                </c:pt>
                <c:pt idx="87">
                  <c:v>1488.738461538461</c:v>
                </c:pt>
                <c:pt idx="88">
                  <c:v>1860.923076923077</c:v>
                </c:pt>
                <c:pt idx="89">
                  <c:v>2233.107692307692</c:v>
                </c:pt>
                <c:pt idx="90">
                  <c:v>2605.292307692308</c:v>
                </c:pt>
                <c:pt idx="91">
                  <c:v>2977.476923076923</c:v>
                </c:pt>
                <c:pt idx="92">
                  <c:v>3349.661538461538</c:v>
                </c:pt>
                <c:pt idx="93">
                  <c:v>3721.846153846153</c:v>
                </c:pt>
                <c:pt idx="94">
                  <c:v>4094.030769230769</c:v>
                </c:pt>
                <c:pt idx="95">
                  <c:v>4466.215384615384</c:v>
                </c:pt>
                <c:pt idx="96">
                  <c:v>4838.4</c:v>
                </c:pt>
                <c:pt idx="97">
                  <c:v>4838.4</c:v>
                </c:pt>
                <c:pt idx="98">
                  <c:v>4838.4</c:v>
                </c:pt>
                <c:pt idx="99">
                  <c:v>4838.4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4.510061942438204</c:v>
                </c:pt>
                <c:pt idx="22">
                  <c:v>9.020123884876408</c:v>
                </c:pt>
                <c:pt idx="23">
                  <c:v>13.53018582731461</c:v>
                </c:pt>
                <c:pt idx="24">
                  <c:v>18.04024776975282</c:v>
                </c:pt>
                <c:pt idx="25">
                  <c:v>22.55030971219102</c:v>
                </c:pt>
                <c:pt idx="26">
                  <c:v>27.06037165462923</c:v>
                </c:pt>
                <c:pt idx="27">
                  <c:v>31.57043359706743</c:v>
                </c:pt>
                <c:pt idx="28">
                  <c:v>36.08049553950563</c:v>
                </c:pt>
                <c:pt idx="29">
                  <c:v>40.59055748194384</c:v>
                </c:pt>
                <c:pt idx="30">
                  <c:v>45.10061942438204</c:v>
                </c:pt>
                <c:pt idx="31">
                  <c:v>49.61068136682024</c:v>
                </c:pt>
                <c:pt idx="32">
                  <c:v>54.12074330925846</c:v>
                </c:pt>
                <c:pt idx="33">
                  <c:v>58.63080525169665</c:v>
                </c:pt>
                <c:pt idx="34">
                  <c:v>63.14086719413486</c:v>
                </c:pt>
                <c:pt idx="35">
                  <c:v>67.65092913657305</c:v>
                </c:pt>
                <c:pt idx="36">
                  <c:v>72.16099107901127</c:v>
                </c:pt>
                <c:pt idx="37">
                  <c:v>76.67105302144948</c:v>
                </c:pt>
                <c:pt idx="38">
                  <c:v>81.18111496388767</c:v>
                </c:pt>
                <c:pt idx="39">
                  <c:v>85.69117690632588</c:v>
                </c:pt>
                <c:pt idx="40">
                  <c:v>90.20123884876408</c:v>
                </c:pt>
                <c:pt idx="41">
                  <c:v>94.7113007912023</c:v>
                </c:pt>
                <c:pt idx="42">
                  <c:v>99.22136273364049</c:v>
                </c:pt>
                <c:pt idx="43">
                  <c:v>103.7314246760787</c:v>
                </c:pt>
                <c:pt idx="44">
                  <c:v>108.2414866185169</c:v>
                </c:pt>
                <c:pt idx="45">
                  <c:v>112.7515485609551</c:v>
                </c:pt>
                <c:pt idx="46">
                  <c:v>117.2616105033933</c:v>
                </c:pt>
                <c:pt idx="47">
                  <c:v>121.7716724458315</c:v>
                </c:pt>
                <c:pt idx="48">
                  <c:v>126.2817343882697</c:v>
                </c:pt>
                <c:pt idx="49">
                  <c:v>130.791796330708</c:v>
                </c:pt>
                <c:pt idx="50">
                  <c:v>135.3018582731461</c:v>
                </c:pt>
                <c:pt idx="51">
                  <c:v>139.8119202155843</c:v>
                </c:pt>
                <c:pt idx="52">
                  <c:v>144.3219821580225</c:v>
                </c:pt>
                <c:pt idx="53">
                  <c:v>148.8320441004607</c:v>
                </c:pt>
                <c:pt idx="54">
                  <c:v>153.342106042899</c:v>
                </c:pt>
                <c:pt idx="55">
                  <c:v>157.8521679853371</c:v>
                </c:pt>
                <c:pt idx="56">
                  <c:v>162.3622299277753</c:v>
                </c:pt>
                <c:pt idx="57">
                  <c:v>166.8722918702135</c:v>
                </c:pt>
                <c:pt idx="58">
                  <c:v>177.5893481084441</c:v>
                </c:pt>
                <c:pt idx="59">
                  <c:v>188.3064043466746</c:v>
                </c:pt>
                <c:pt idx="60">
                  <c:v>199.0234605849051</c:v>
                </c:pt>
                <c:pt idx="61">
                  <c:v>209.7405168231357</c:v>
                </c:pt>
                <c:pt idx="62">
                  <c:v>220.4575730613662</c:v>
                </c:pt>
                <c:pt idx="63">
                  <c:v>231.1746292995967</c:v>
                </c:pt>
                <c:pt idx="64">
                  <c:v>241.8916855378272</c:v>
                </c:pt>
                <c:pt idx="65">
                  <c:v>252.6087417760577</c:v>
                </c:pt>
                <c:pt idx="66">
                  <c:v>263.3257980142882</c:v>
                </c:pt>
                <c:pt idx="67">
                  <c:v>274.0428542525188</c:v>
                </c:pt>
                <c:pt idx="68">
                  <c:v>284.7599104907493</c:v>
                </c:pt>
                <c:pt idx="69">
                  <c:v>295.4769667289798</c:v>
                </c:pt>
                <c:pt idx="70">
                  <c:v>306.1940229672103</c:v>
                </c:pt>
                <c:pt idx="71">
                  <c:v>316.9110792054409</c:v>
                </c:pt>
                <c:pt idx="72">
                  <c:v>327.6281354436715</c:v>
                </c:pt>
                <c:pt idx="73">
                  <c:v>338.345191681902</c:v>
                </c:pt>
                <c:pt idx="74">
                  <c:v>349.0622479201324</c:v>
                </c:pt>
                <c:pt idx="75">
                  <c:v>359.7793041583629</c:v>
                </c:pt>
                <c:pt idx="76">
                  <c:v>370.4963603965936</c:v>
                </c:pt>
                <c:pt idx="77">
                  <c:v>381.2134166348241</c:v>
                </c:pt>
                <c:pt idx="78">
                  <c:v>391.9304728730546</c:v>
                </c:pt>
                <c:pt idx="79">
                  <c:v>402.6475291112851</c:v>
                </c:pt>
                <c:pt idx="80">
                  <c:v>413.3645853495156</c:v>
                </c:pt>
                <c:pt idx="81">
                  <c:v>424.0816415877461</c:v>
                </c:pt>
                <c:pt idx="82">
                  <c:v>434.7986978259767</c:v>
                </c:pt>
                <c:pt idx="83">
                  <c:v>445.5157540642072</c:v>
                </c:pt>
                <c:pt idx="84">
                  <c:v>515.0346599603856</c:v>
                </c:pt>
                <c:pt idx="85">
                  <c:v>584.5535658565641</c:v>
                </c:pt>
                <c:pt idx="86">
                  <c:v>654.0724717527425</c:v>
                </c:pt>
                <c:pt idx="87">
                  <c:v>723.591377648921</c:v>
                </c:pt>
                <c:pt idx="88">
                  <c:v>793.1102835450993</c:v>
                </c:pt>
                <c:pt idx="89">
                  <c:v>862.6291894412778</c:v>
                </c:pt>
                <c:pt idx="90">
                  <c:v>932.1480953374561</c:v>
                </c:pt>
                <c:pt idx="91">
                  <c:v>1001.667001233635</c:v>
                </c:pt>
                <c:pt idx="92">
                  <c:v>1071.185907129813</c:v>
                </c:pt>
                <c:pt idx="93">
                  <c:v>1140.704813025992</c:v>
                </c:pt>
                <c:pt idx="94">
                  <c:v>1210.22371892217</c:v>
                </c:pt>
                <c:pt idx="95">
                  <c:v>1279.742624818349</c:v>
                </c:pt>
                <c:pt idx="96">
                  <c:v>1349.261530714527</c:v>
                </c:pt>
                <c:pt idx="97">
                  <c:v>1349.261530714527</c:v>
                </c:pt>
                <c:pt idx="98">
                  <c:v>1349.261530714527</c:v>
                </c:pt>
                <c:pt idx="99">
                  <c:v>1349.261530714527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109.8810810810811</c:v>
                </c:pt>
                <c:pt idx="22">
                  <c:v>219.7621621621622</c:v>
                </c:pt>
                <c:pt idx="23">
                  <c:v>329.6432432432432</c:v>
                </c:pt>
                <c:pt idx="24">
                  <c:v>439.5243243243243</c:v>
                </c:pt>
                <c:pt idx="25">
                  <c:v>549.4054054054054</c:v>
                </c:pt>
                <c:pt idx="26">
                  <c:v>659.2864864864864</c:v>
                </c:pt>
                <c:pt idx="27">
                  <c:v>769.1675675675676</c:v>
                </c:pt>
                <c:pt idx="28">
                  <c:v>879.0486486486486</c:v>
                </c:pt>
                <c:pt idx="29">
                  <c:v>988.9297297297297</c:v>
                </c:pt>
                <c:pt idx="30">
                  <c:v>1098.810810810811</c:v>
                </c:pt>
                <c:pt idx="31">
                  <c:v>1208.691891891892</c:v>
                </c:pt>
                <c:pt idx="32">
                  <c:v>1318.572972972973</c:v>
                </c:pt>
                <c:pt idx="33">
                  <c:v>1428.454054054054</c:v>
                </c:pt>
                <c:pt idx="34">
                  <c:v>1538.335135135135</c:v>
                </c:pt>
                <c:pt idx="35">
                  <c:v>1648.216216216216</c:v>
                </c:pt>
                <c:pt idx="36">
                  <c:v>1758.097297297297</c:v>
                </c:pt>
                <c:pt idx="37">
                  <c:v>1867.978378378378</c:v>
                </c:pt>
                <c:pt idx="38">
                  <c:v>1977.859459459459</c:v>
                </c:pt>
                <c:pt idx="39">
                  <c:v>2087.74054054054</c:v>
                </c:pt>
                <c:pt idx="40">
                  <c:v>2197.621621621622</c:v>
                </c:pt>
                <c:pt idx="41">
                  <c:v>2307.502702702703</c:v>
                </c:pt>
                <c:pt idx="42">
                  <c:v>2417.383783783784</c:v>
                </c:pt>
                <c:pt idx="43">
                  <c:v>2527.264864864865</c:v>
                </c:pt>
                <c:pt idx="44">
                  <c:v>2637.145945945946</c:v>
                </c:pt>
                <c:pt idx="45">
                  <c:v>2747.027027027027</c:v>
                </c:pt>
                <c:pt idx="46">
                  <c:v>2856.908108108108</c:v>
                </c:pt>
                <c:pt idx="47">
                  <c:v>2966.789189189189</c:v>
                </c:pt>
                <c:pt idx="48">
                  <c:v>3076.67027027027</c:v>
                </c:pt>
                <c:pt idx="49">
                  <c:v>3186.551351351351</c:v>
                </c:pt>
                <c:pt idx="50">
                  <c:v>3296.432432432432</c:v>
                </c:pt>
                <c:pt idx="51">
                  <c:v>3406.313513513513</c:v>
                </c:pt>
                <c:pt idx="52">
                  <c:v>3516.194594594594</c:v>
                </c:pt>
                <c:pt idx="53">
                  <c:v>3626.075675675675</c:v>
                </c:pt>
                <c:pt idx="54">
                  <c:v>3735.956756756756</c:v>
                </c:pt>
                <c:pt idx="55">
                  <c:v>3845.837837837838</c:v>
                </c:pt>
                <c:pt idx="56">
                  <c:v>3955.718918918919</c:v>
                </c:pt>
                <c:pt idx="57">
                  <c:v>4065.599999999999</c:v>
                </c:pt>
                <c:pt idx="58">
                  <c:v>4365.846153846154</c:v>
                </c:pt>
                <c:pt idx="59">
                  <c:v>4666.092307692308</c:v>
                </c:pt>
                <c:pt idx="60">
                  <c:v>4966.338461538462</c:v>
                </c:pt>
                <c:pt idx="61">
                  <c:v>5266.584615384616</c:v>
                </c:pt>
                <c:pt idx="62">
                  <c:v>5566.83076923077</c:v>
                </c:pt>
                <c:pt idx="63">
                  <c:v>5867.076923076923</c:v>
                </c:pt>
                <c:pt idx="64">
                  <c:v>6167.323076923077</c:v>
                </c:pt>
                <c:pt idx="65">
                  <c:v>6467.56923076923</c:v>
                </c:pt>
                <c:pt idx="66">
                  <c:v>6767.815384615384</c:v>
                </c:pt>
                <c:pt idx="67">
                  <c:v>7068.06153846154</c:v>
                </c:pt>
                <c:pt idx="68">
                  <c:v>7368.307692307693</c:v>
                </c:pt>
                <c:pt idx="69">
                  <c:v>7668.553846153847</c:v>
                </c:pt>
                <c:pt idx="70">
                  <c:v>7968.8</c:v>
                </c:pt>
                <c:pt idx="71">
                  <c:v>8269.046153846155</c:v>
                </c:pt>
                <c:pt idx="72">
                  <c:v>8569.292307692308</c:v>
                </c:pt>
                <c:pt idx="73">
                  <c:v>8869.53846153846</c:v>
                </c:pt>
                <c:pt idx="74">
                  <c:v>9169.784615384617</c:v>
                </c:pt>
                <c:pt idx="75">
                  <c:v>9470.030769230768</c:v>
                </c:pt>
                <c:pt idx="76">
                  <c:v>9770.276923076925</c:v>
                </c:pt>
                <c:pt idx="77">
                  <c:v>10070.52307692308</c:v>
                </c:pt>
                <c:pt idx="78">
                  <c:v>10370.76923076923</c:v>
                </c:pt>
                <c:pt idx="79">
                  <c:v>10671.01538461539</c:v>
                </c:pt>
                <c:pt idx="80">
                  <c:v>10971.26153846154</c:v>
                </c:pt>
                <c:pt idx="81">
                  <c:v>11271.50769230769</c:v>
                </c:pt>
                <c:pt idx="82">
                  <c:v>11571.75384615385</c:v>
                </c:pt>
                <c:pt idx="83">
                  <c:v>11872.0</c:v>
                </c:pt>
                <c:pt idx="84">
                  <c:v>12778.33846153846</c:v>
                </c:pt>
                <c:pt idx="85">
                  <c:v>13684.67692307693</c:v>
                </c:pt>
                <c:pt idx="86">
                  <c:v>14591.01538461539</c:v>
                </c:pt>
                <c:pt idx="87">
                  <c:v>15497.35384615385</c:v>
                </c:pt>
                <c:pt idx="88">
                  <c:v>16403.69230769231</c:v>
                </c:pt>
                <c:pt idx="89">
                  <c:v>17310.03076923077</c:v>
                </c:pt>
                <c:pt idx="90">
                  <c:v>18216.36923076923</c:v>
                </c:pt>
                <c:pt idx="91">
                  <c:v>19122.7076923077</c:v>
                </c:pt>
                <c:pt idx="92">
                  <c:v>20029.04615384616</c:v>
                </c:pt>
                <c:pt idx="93">
                  <c:v>20935.38461538462</c:v>
                </c:pt>
                <c:pt idx="94">
                  <c:v>21841.72307692308</c:v>
                </c:pt>
                <c:pt idx="95">
                  <c:v>22748.06153846154</c:v>
                </c:pt>
                <c:pt idx="96">
                  <c:v>23654.40000000001</c:v>
                </c:pt>
                <c:pt idx="97">
                  <c:v>23654.40000000001</c:v>
                </c:pt>
                <c:pt idx="98">
                  <c:v>23654.40000000001</c:v>
                </c:pt>
                <c:pt idx="99">
                  <c:v>23654.40000000001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9858.24</c:v>
                </c:pt>
                <c:pt idx="1">
                  <c:v>9858.24</c:v>
                </c:pt>
                <c:pt idx="2">
                  <c:v>9858.24</c:v>
                </c:pt>
                <c:pt idx="3">
                  <c:v>9858.24</c:v>
                </c:pt>
                <c:pt idx="4">
                  <c:v>9858.24</c:v>
                </c:pt>
                <c:pt idx="5">
                  <c:v>9858.24</c:v>
                </c:pt>
                <c:pt idx="6">
                  <c:v>9858.24</c:v>
                </c:pt>
                <c:pt idx="7">
                  <c:v>9858.24</c:v>
                </c:pt>
                <c:pt idx="8">
                  <c:v>9858.24</c:v>
                </c:pt>
                <c:pt idx="9">
                  <c:v>9858.24</c:v>
                </c:pt>
                <c:pt idx="10">
                  <c:v>9858.24</c:v>
                </c:pt>
                <c:pt idx="11">
                  <c:v>9858.24</c:v>
                </c:pt>
                <c:pt idx="12">
                  <c:v>9858.24</c:v>
                </c:pt>
                <c:pt idx="13">
                  <c:v>9858.24</c:v>
                </c:pt>
                <c:pt idx="14">
                  <c:v>9858.24</c:v>
                </c:pt>
                <c:pt idx="15">
                  <c:v>9858.24</c:v>
                </c:pt>
                <c:pt idx="16">
                  <c:v>9858.24</c:v>
                </c:pt>
                <c:pt idx="17">
                  <c:v>9858.24</c:v>
                </c:pt>
                <c:pt idx="18">
                  <c:v>9858.24</c:v>
                </c:pt>
                <c:pt idx="19">
                  <c:v>9858.24</c:v>
                </c:pt>
                <c:pt idx="20">
                  <c:v>9858.24</c:v>
                </c:pt>
                <c:pt idx="21">
                  <c:v>9982.741621621622</c:v>
                </c:pt>
                <c:pt idx="22">
                  <c:v>10107.24324324325</c:v>
                </c:pt>
                <c:pt idx="23">
                  <c:v>10231.74486486487</c:v>
                </c:pt>
                <c:pt idx="24">
                  <c:v>10356.24648648649</c:v>
                </c:pt>
                <c:pt idx="25">
                  <c:v>10480.74810810811</c:v>
                </c:pt>
                <c:pt idx="26">
                  <c:v>10605.24972972973</c:v>
                </c:pt>
                <c:pt idx="27">
                  <c:v>10729.75135135135</c:v>
                </c:pt>
                <c:pt idx="28">
                  <c:v>10854.25297297297</c:v>
                </c:pt>
                <c:pt idx="29">
                  <c:v>10978.7545945946</c:v>
                </c:pt>
                <c:pt idx="30">
                  <c:v>11103.25621621622</c:v>
                </c:pt>
                <c:pt idx="31">
                  <c:v>11227.75783783784</c:v>
                </c:pt>
                <c:pt idx="32">
                  <c:v>11352.25945945946</c:v>
                </c:pt>
                <c:pt idx="33">
                  <c:v>11476.76108108108</c:v>
                </c:pt>
                <c:pt idx="34">
                  <c:v>11601.2627027027</c:v>
                </c:pt>
                <c:pt idx="35">
                  <c:v>11725.76432432433</c:v>
                </c:pt>
                <c:pt idx="36">
                  <c:v>11850.26594594595</c:v>
                </c:pt>
                <c:pt idx="37">
                  <c:v>11974.76756756757</c:v>
                </c:pt>
                <c:pt idx="38">
                  <c:v>12099.26918918919</c:v>
                </c:pt>
                <c:pt idx="39">
                  <c:v>12223.77081081081</c:v>
                </c:pt>
                <c:pt idx="40">
                  <c:v>12348.27243243244</c:v>
                </c:pt>
                <c:pt idx="41">
                  <c:v>12472.77405405406</c:v>
                </c:pt>
                <c:pt idx="42">
                  <c:v>12597.27567567568</c:v>
                </c:pt>
                <c:pt idx="43">
                  <c:v>12721.7772972973</c:v>
                </c:pt>
                <c:pt idx="44">
                  <c:v>12846.27891891892</c:v>
                </c:pt>
                <c:pt idx="45">
                  <c:v>12970.78054054054</c:v>
                </c:pt>
                <c:pt idx="46">
                  <c:v>13095.28216216216</c:v>
                </c:pt>
                <c:pt idx="47">
                  <c:v>13219.78378378379</c:v>
                </c:pt>
                <c:pt idx="48">
                  <c:v>13344.28540540541</c:v>
                </c:pt>
                <c:pt idx="49">
                  <c:v>13468.78702702703</c:v>
                </c:pt>
                <c:pt idx="50">
                  <c:v>13593.28864864865</c:v>
                </c:pt>
                <c:pt idx="51">
                  <c:v>13717.79027027027</c:v>
                </c:pt>
                <c:pt idx="52">
                  <c:v>13842.29189189189</c:v>
                </c:pt>
                <c:pt idx="53">
                  <c:v>13966.79351351352</c:v>
                </c:pt>
                <c:pt idx="54">
                  <c:v>14091.29513513514</c:v>
                </c:pt>
                <c:pt idx="55">
                  <c:v>14215.79675675676</c:v>
                </c:pt>
                <c:pt idx="56">
                  <c:v>14340.29837837838</c:v>
                </c:pt>
                <c:pt idx="57">
                  <c:v>14464.8</c:v>
                </c:pt>
                <c:pt idx="58">
                  <c:v>13940.76923076923</c:v>
                </c:pt>
                <c:pt idx="59">
                  <c:v>13416.73846153846</c:v>
                </c:pt>
                <c:pt idx="60">
                  <c:v>12892.70769230769</c:v>
                </c:pt>
                <c:pt idx="61">
                  <c:v>12368.67692307693</c:v>
                </c:pt>
                <c:pt idx="62">
                  <c:v>11844.64615384616</c:v>
                </c:pt>
                <c:pt idx="63">
                  <c:v>11320.61538461539</c:v>
                </c:pt>
                <c:pt idx="64">
                  <c:v>10796.58461538462</c:v>
                </c:pt>
                <c:pt idx="65">
                  <c:v>10272.55384615385</c:v>
                </c:pt>
                <c:pt idx="66">
                  <c:v>9748.523076923078</c:v>
                </c:pt>
                <c:pt idx="67">
                  <c:v>9224.49230769231</c:v>
                </c:pt>
                <c:pt idx="68">
                  <c:v>8700.461538461539</c:v>
                </c:pt>
                <c:pt idx="69">
                  <c:v>8176.430769230771</c:v>
                </c:pt>
                <c:pt idx="70">
                  <c:v>7652.400000000002</c:v>
                </c:pt>
                <c:pt idx="71">
                  <c:v>7128.36923076923</c:v>
                </c:pt>
                <c:pt idx="72">
                  <c:v>6604.338461538462</c:v>
                </c:pt>
                <c:pt idx="73">
                  <c:v>6080.307692307693</c:v>
                </c:pt>
                <c:pt idx="74">
                  <c:v>5556.276923076924</c:v>
                </c:pt>
                <c:pt idx="75">
                  <c:v>5032.246153846154</c:v>
                </c:pt>
                <c:pt idx="76">
                  <c:v>4508.215384615385</c:v>
                </c:pt>
                <c:pt idx="77">
                  <c:v>3984.184615384616</c:v>
                </c:pt>
                <c:pt idx="78">
                  <c:v>3460.153846153848</c:v>
                </c:pt>
                <c:pt idx="79">
                  <c:v>2936.123076923077</c:v>
                </c:pt>
                <c:pt idx="80">
                  <c:v>2412.092307692308</c:v>
                </c:pt>
                <c:pt idx="81">
                  <c:v>1888.061538461539</c:v>
                </c:pt>
                <c:pt idx="82">
                  <c:v>1364.030769230771</c:v>
                </c:pt>
                <c:pt idx="83">
                  <c:v>840.0000000000018</c:v>
                </c:pt>
                <c:pt idx="84">
                  <c:v>775.3846153846154</c:v>
                </c:pt>
                <c:pt idx="85">
                  <c:v>710.7692307692307</c:v>
                </c:pt>
                <c:pt idx="86">
                  <c:v>646.1538461538461</c:v>
                </c:pt>
                <c:pt idx="87">
                  <c:v>581.5384615384615</c:v>
                </c:pt>
                <c:pt idx="88">
                  <c:v>516.923076923077</c:v>
                </c:pt>
                <c:pt idx="89">
                  <c:v>452.3076923076923</c:v>
                </c:pt>
                <c:pt idx="90">
                  <c:v>387.6923076923077</c:v>
                </c:pt>
                <c:pt idx="91">
                  <c:v>323.0769230769231</c:v>
                </c:pt>
                <c:pt idx="92">
                  <c:v>258.4615384615385</c:v>
                </c:pt>
                <c:pt idx="93">
                  <c:v>193.8461538461538</c:v>
                </c:pt>
                <c:pt idx="94">
                  <c:v>129.2307692307693</c:v>
                </c:pt>
                <c:pt idx="95">
                  <c:v>64.61538461538464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3437.538461538462</c:v>
                </c:pt>
                <c:pt idx="59">
                  <c:v>6875.076923076923</c:v>
                </c:pt>
                <c:pt idx="60">
                  <c:v>10312.61538461539</c:v>
                </c:pt>
                <c:pt idx="61">
                  <c:v>13750.15384615385</c:v>
                </c:pt>
                <c:pt idx="62">
                  <c:v>17187.69230769231</c:v>
                </c:pt>
                <c:pt idx="63">
                  <c:v>20625.23076923077</c:v>
                </c:pt>
                <c:pt idx="64">
                  <c:v>24062.76923076923</c:v>
                </c:pt>
                <c:pt idx="65">
                  <c:v>27500.3076923077</c:v>
                </c:pt>
                <c:pt idx="66">
                  <c:v>30937.84615384616</c:v>
                </c:pt>
                <c:pt idx="67">
                  <c:v>34375.38461538461</c:v>
                </c:pt>
                <c:pt idx="68">
                  <c:v>37812.92307692308</c:v>
                </c:pt>
                <c:pt idx="69">
                  <c:v>41250.46153846155</c:v>
                </c:pt>
                <c:pt idx="70">
                  <c:v>44688.00000000001</c:v>
                </c:pt>
                <c:pt idx="71">
                  <c:v>48125.53846153847</c:v>
                </c:pt>
                <c:pt idx="72">
                  <c:v>51563.07692307692</c:v>
                </c:pt>
                <c:pt idx="73">
                  <c:v>55000.61538461539</c:v>
                </c:pt>
                <c:pt idx="74">
                  <c:v>58438.15384615386</c:v>
                </c:pt>
                <c:pt idx="75">
                  <c:v>61875.69230769232</c:v>
                </c:pt>
                <c:pt idx="76">
                  <c:v>65313.23076923078</c:v>
                </c:pt>
                <c:pt idx="77">
                  <c:v>68750.76923076923</c:v>
                </c:pt>
                <c:pt idx="78">
                  <c:v>72188.3076923077</c:v>
                </c:pt>
                <c:pt idx="79">
                  <c:v>75625.84615384616</c:v>
                </c:pt>
                <c:pt idx="80">
                  <c:v>79063.38461538462</c:v>
                </c:pt>
                <c:pt idx="81">
                  <c:v>82500.92307692309</c:v>
                </c:pt>
                <c:pt idx="82">
                  <c:v>85938.46153846156</c:v>
                </c:pt>
                <c:pt idx="83">
                  <c:v>89376.00000000001</c:v>
                </c:pt>
                <c:pt idx="84">
                  <c:v>109794.4615384616</c:v>
                </c:pt>
                <c:pt idx="85">
                  <c:v>130212.9230769231</c:v>
                </c:pt>
                <c:pt idx="86">
                  <c:v>150631.3846153846</c:v>
                </c:pt>
                <c:pt idx="87">
                  <c:v>171049.8461538462</c:v>
                </c:pt>
                <c:pt idx="88">
                  <c:v>191468.3076923077</c:v>
                </c:pt>
                <c:pt idx="89">
                  <c:v>211886.7692307692</c:v>
                </c:pt>
                <c:pt idx="90">
                  <c:v>232305.2307692308</c:v>
                </c:pt>
                <c:pt idx="91">
                  <c:v>252723.6923076923</c:v>
                </c:pt>
                <c:pt idx="92">
                  <c:v>273142.1538461539</c:v>
                </c:pt>
                <c:pt idx="93">
                  <c:v>293560.6153846154</c:v>
                </c:pt>
                <c:pt idx="94">
                  <c:v>313979.0769230769</c:v>
                </c:pt>
                <c:pt idx="95">
                  <c:v>334397.5384615385</c:v>
                </c:pt>
                <c:pt idx="96">
                  <c:v>354816.0</c:v>
                </c:pt>
                <c:pt idx="97">
                  <c:v>354816.0</c:v>
                </c:pt>
                <c:pt idx="98">
                  <c:v>354816.0</c:v>
                </c:pt>
                <c:pt idx="99">
                  <c:v>354816.0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6773.76</c:v>
                </c:pt>
                <c:pt idx="1">
                  <c:v>6773.76</c:v>
                </c:pt>
                <c:pt idx="2">
                  <c:v>6773.76</c:v>
                </c:pt>
                <c:pt idx="3">
                  <c:v>6773.76</c:v>
                </c:pt>
                <c:pt idx="4">
                  <c:v>6773.76</c:v>
                </c:pt>
                <c:pt idx="5">
                  <c:v>6773.76</c:v>
                </c:pt>
                <c:pt idx="6">
                  <c:v>6773.76</c:v>
                </c:pt>
                <c:pt idx="7">
                  <c:v>6773.76</c:v>
                </c:pt>
                <c:pt idx="8">
                  <c:v>6773.76</c:v>
                </c:pt>
                <c:pt idx="9">
                  <c:v>6773.76</c:v>
                </c:pt>
                <c:pt idx="10">
                  <c:v>6773.76</c:v>
                </c:pt>
                <c:pt idx="11">
                  <c:v>6773.76</c:v>
                </c:pt>
                <c:pt idx="12">
                  <c:v>6773.76</c:v>
                </c:pt>
                <c:pt idx="13">
                  <c:v>6773.76</c:v>
                </c:pt>
                <c:pt idx="14">
                  <c:v>6773.76</c:v>
                </c:pt>
                <c:pt idx="15">
                  <c:v>6773.76</c:v>
                </c:pt>
                <c:pt idx="16">
                  <c:v>6773.76</c:v>
                </c:pt>
                <c:pt idx="17">
                  <c:v>6773.76</c:v>
                </c:pt>
                <c:pt idx="18">
                  <c:v>6773.76</c:v>
                </c:pt>
                <c:pt idx="19">
                  <c:v>6773.76</c:v>
                </c:pt>
                <c:pt idx="20">
                  <c:v>6773.76</c:v>
                </c:pt>
                <c:pt idx="21">
                  <c:v>6743.247567567567</c:v>
                </c:pt>
                <c:pt idx="22">
                  <c:v>6712.735135135135</c:v>
                </c:pt>
                <c:pt idx="23">
                  <c:v>6682.222702702703</c:v>
                </c:pt>
                <c:pt idx="24">
                  <c:v>6651.71027027027</c:v>
                </c:pt>
                <c:pt idx="25">
                  <c:v>6621.197837837838</c:v>
                </c:pt>
                <c:pt idx="26">
                  <c:v>6590.685405405405</c:v>
                </c:pt>
                <c:pt idx="27">
                  <c:v>6560.172972972973</c:v>
                </c:pt>
                <c:pt idx="28">
                  <c:v>6529.66054054054</c:v>
                </c:pt>
                <c:pt idx="29">
                  <c:v>6499.148108108108</c:v>
                </c:pt>
                <c:pt idx="30">
                  <c:v>6468.635675675675</c:v>
                </c:pt>
                <c:pt idx="31">
                  <c:v>6438.123243243243</c:v>
                </c:pt>
                <c:pt idx="32">
                  <c:v>6407.610810810811</c:v>
                </c:pt>
                <c:pt idx="33">
                  <c:v>6377.098378378379</c:v>
                </c:pt>
                <c:pt idx="34">
                  <c:v>6346.585945945946</c:v>
                </c:pt>
                <c:pt idx="35">
                  <c:v>6316.073513513514</c:v>
                </c:pt>
                <c:pt idx="36">
                  <c:v>6285.56108108108</c:v>
                </c:pt>
                <c:pt idx="37">
                  <c:v>6255.048648648649</c:v>
                </c:pt>
                <c:pt idx="38">
                  <c:v>6224.536216216216</c:v>
                </c:pt>
                <c:pt idx="39">
                  <c:v>6194.023783783784</c:v>
                </c:pt>
                <c:pt idx="40">
                  <c:v>6163.511351351351</c:v>
                </c:pt>
                <c:pt idx="41">
                  <c:v>6132.998918918919</c:v>
                </c:pt>
                <c:pt idx="42">
                  <c:v>6102.486486486486</c:v>
                </c:pt>
                <c:pt idx="43">
                  <c:v>6071.974054054054</c:v>
                </c:pt>
                <c:pt idx="44">
                  <c:v>6041.46162162162</c:v>
                </c:pt>
                <c:pt idx="45">
                  <c:v>6010.94918918919</c:v>
                </c:pt>
                <c:pt idx="46">
                  <c:v>5980.436756756757</c:v>
                </c:pt>
                <c:pt idx="47">
                  <c:v>5949.924324324325</c:v>
                </c:pt>
                <c:pt idx="48">
                  <c:v>5919.411891891892</c:v>
                </c:pt>
                <c:pt idx="49">
                  <c:v>5888.89945945946</c:v>
                </c:pt>
                <c:pt idx="50">
                  <c:v>5858.387027027027</c:v>
                </c:pt>
                <c:pt idx="51">
                  <c:v>5827.874594594595</c:v>
                </c:pt>
                <c:pt idx="52">
                  <c:v>5797.362162162162</c:v>
                </c:pt>
                <c:pt idx="53">
                  <c:v>5766.84972972973</c:v>
                </c:pt>
                <c:pt idx="54">
                  <c:v>5736.337297297297</c:v>
                </c:pt>
                <c:pt idx="55">
                  <c:v>5705.824864864865</c:v>
                </c:pt>
                <c:pt idx="56">
                  <c:v>5675.312432432432</c:v>
                </c:pt>
                <c:pt idx="57">
                  <c:v>5644.8</c:v>
                </c:pt>
                <c:pt idx="58">
                  <c:v>6742.400000000001</c:v>
                </c:pt>
                <c:pt idx="59">
                  <c:v>7840.0</c:v>
                </c:pt>
                <c:pt idx="60">
                  <c:v>8937.6</c:v>
                </c:pt>
                <c:pt idx="61">
                  <c:v>10035.2</c:v>
                </c:pt>
                <c:pt idx="62">
                  <c:v>11132.8</c:v>
                </c:pt>
                <c:pt idx="63">
                  <c:v>12230.4</c:v>
                </c:pt>
                <c:pt idx="64">
                  <c:v>13328.0</c:v>
                </c:pt>
                <c:pt idx="65">
                  <c:v>14425.6</c:v>
                </c:pt>
                <c:pt idx="66">
                  <c:v>15523.2</c:v>
                </c:pt>
                <c:pt idx="67">
                  <c:v>16620.8</c:v>
                </c:pt>
                <c:pt idx="68">
                  <c:v>17718.4</c:v>
                </c:pt>
                <c:pt idx="69">
                  <c:v>18816.0</c:v>
                </c:pt>
                <c:pt idx="70">
                  <c:v>19913.6</c:v>
                </c:pt>
                <c:pt idx="71">
                  <c:v>21011.2</c:v>
                </c:pt>
                <c:pt idx="72">
                  <c:v>22108.8</c:v>
                </c:pt>
                <c:pt idx="73">
                  <c:v>23206.4</c:v>
                </c:pt>
                <c:pt idx="74">
                  <c:v>24304.0</c:v>
                </c:pt>
                <c:pt idx="75">
                  <c:v>25401.6</c:v>
                </c:pt>
                <c:pt idx="76">
                  <c:v>26499.2</c:v>
                </c:pt>
                <c:pt idx="77">
                  <c:v>27596.8</c:v>
                </c:pt>
                <c:pt idx="78">
                  <c:v>28694.4</c:v>
                </c:pt>
                <c:pt idx="79">
                  <c:v>29792.0</c:v>
                </c:pt>
                <c:pt idx="80">
                  <c:v>30889.6</c:v>
                </c:pt>
                <c:pt idx="81">
                  <c:v>31987.2</c:v>
                </c:pt>
                <c:pt idx="82">
                  <c:v>33084.8</c:v>
                </c:pt>
                <c:pt idx="83">
                  <c:v>34182.4</c:v>
                </c:pt>
                <c:pt idx="84">
                  <c:v>31552.98461538461</c:v>
                </c:pt>
                <c:pt idx="85">
                  <c:v>28923.56923076923</c:v>
                </c:pt>
                <c:pt idx="86">
                  <c:v>26294.15384615385</c:v>
                </c:pt>
                <c:pt idx="87">
                  <c:v>23664.73846153846</c:v>
                </c:pt>
                <c:pt idx="88">
                  <c:v>21035.32307692308</c:v>
                </c:pt>
                <c:pt idx="89">
                  <c:v>18405.9076923077</c:v>
                </c:pt>
                <c:pt idx="90">
                  <c:v>15776.49230769231</c:v>
                </c:pt>
                <c:pt idx="91">
                  <c:v>13147.07692307692</c:v>
                </c:pt>
                <c:pt idx="92">
                  <c:v>10517.66153846154</c:v>
                </c:pt>
                <c:pt idx="93">
                  <c:v>7888.246153846154</c:v>
                </c:pt>
                <c:pt idx="94">
                  <c:v>5258.830769230768</c:v>
                </c:pt>
                <c:pt idx="95">
                  <c:v>2629.415384615382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108.972972972973</c:v>
                </c:pt>
                <c:pt idx="22">
                  <c:v>217.945945945946</c:v>
                </c:pt>
                <c:pt idx="23">
                  <c:v>326.918918918919</c:v>
                </c:pt>
                <c:pt idx="24">
                  <c:v>435.891891891892</c:v>
                </c:pt>
                <c:pt idx="25">
                  <c:v>544.864864864865</c:v>
                </c:pt>
                <c:pt idx="26">
                  <c:v>653.837837837838</c:v>
                </c:pt>
                <c:pt idx="27">
                  <c:v>762.8108108108109</c:v>
                </c:pt>
                <c:pt idx="28">
                  <c:v>871.7837837837838</c:v>
                </c:pt>
                <c:pt idx="29">
                  <c:v>980.756756756757</c:v>
                </c:pt>
                <c:pt idx="30">
                  <c:v>1089.72972972973</c:v>
                </c:pt>
                <c:pt idx="31">
                  <c:v>1198.702702702703</c:v>
                </c:pt>
                <c:pt idx="32">
                  <c:v>1307.675675675676</c:v>
                </c:pt>
                <c:pt idx="33">
                  <c:v>1416.648648648649</c:v>
                </c:pt>
                <c:pt idx="34">
                  <c:v>1525.621621621622</c:v>
                </c:pt>
                <c:pt idx="35">
                  <c:v>1634.594594594595</c:v>
                </c:pt>
                <c:pt idx="36">
                  <c:v>1743.567567567568</c:v>
                </c:pt>
                <c:pt idx="37">
                  <c:v>1852.540540540541</c:v>
                </c:pt>
                <c:pt idx="38">
                  <c:v>1961.513513513514</c:v>
                </c:pt>
                <c:pt idx="39">
                  <c:v>2070.486486486487</c:v>
                </c:pt>
                <c:pt idx="40">
                  <c:v>2179.45945945946</c:v>
                </c:pt>
                <c:pt idx="41">
                  <c:v>2288.432432432433</c:v>
                </c:pt>
                <c:pt idx="42">
                  <c:v>2397.405405405406</c:v>
                </c:pt>
                <c:pt idx="43">
                  <c:v>2506.378378378378</c:v>
                </c:pt>
                <c:pt idx="44">
                  <c:v>2615.351351351351</c:v>
                </c:pt>
                <c:pt idx="45">
                  <c:v>2724.324324324325</c:v>
                </c:pt>
                <c:pt idx="46">
                  <c:v>2833.297297297298</c:v>
                </c:pt>
                <c:pt idx="47">
                  <c:v>2942.270270270271</c:v>
                </c:pt>
                <c:pt idx="48">
                  <c:v>3051.243243243244</c:v>
                </c:pt>
                <c:pt idx="49">
                  <c:v>3160.216216216217</c:v>
                </c:pt>
                <c:pt idx="50">
                  <c:v>3269.18918918919</c:v>
                </c:pt>
                <c:pt idx="51">
                  <c:v>3378.162162162163</c:v>
                </c:pt>
                <c:pt idx="52">
                  <c:v>3487.135135135135</c:v>
                </c:pt>
                <c:pt idx="53">
                  <c:v>3596.108108108109</c:v>
                </c:pt>
                <c:pt idx="54">
                  <c:v>3705.081081081082</c:v>
                </c:pt>
                <c:pt idx="55">
                  <c:v>3814.054054054055</c:v>
                </c:pt>
                <c:pt idx="56">
                  <c:v>3923.027027027028</c:v>
                </c:pt>
                <c:pt idx="57">
                  <c:v>4032.000000000001</c:v>
                </c:pt>
                <c:pt idx="58">
                  <c:v>4140.553846153846</c:v>
                </c:pt>
                <c:pt idx="59">
                  <c:v>4249.107692307693</c:v>
                </c:pt>
                <c:pt idx="60">
                  <c:v>4357.661538461538</c:v>
                </c:pt>
                <c:pt idx="61">
                  <c:v>4466.215384615385</c:v>
                </c:pt>
                <c:pt idx="62">
                  <c:v>4574.76923076923</c:v>
                </c:pt>
                <c:pt idx="63">
                  <c:v>4683.323076923077</c:v>
                </c:pt>
                <c:pt idx="64">
                  <c:v>4791.876923076923</c:v>
                </c:pt>
                <c:pt idx="65">
                  <c:v>4900.430769230769</c:v>
                </c:pt>
                <c:pt idx="66">
                  <c:v>5008.984615384616</c:v>
                </c:pt>
                <c:pt idx="67">
                  <c:v>5117.538461538462</c:v>
                </c:pt>
                <c:pt idx="68">
                  <c:v>5226.092307692308</c:v>
                </c:pt>
                <c:pt idx="69">
                  <c:v>5334.646153846154</c:v>
                </c:pt>
                <c:pt idx="70">
                  <c:v>5443.200000000001</c:v>
                </c:pt>
                <c:pt idx="71">
                  <c:v>5551.753846153846</c:v>
                </c:pt>
                <c:pt idx="72">
                  <c:v>5660.307692307693</c:v>
                </c:pt>
                <c:pt idx="73">
                  <c:v>5768.861538461538</c:v>
                </c:pt>
                <c:pt idx="74">
                  <c:v>5877.415384615385</c:v>
                </c:pt>
                <c:pt idx="75">
                  <c:v>5985.96923076923</c:v>
                </c:pt>
                <c:pt idx="76">
                  <c:v>6094.523076923077</c:v>
                </c:pt>
                <c:pt idx="77">
                  <c:v>6203.076923076923</c:v>
                </c:pt>
                <c:pt idx="78">
                  <c:v>6311.63076923077</c:v>
                </c:pt>
                <c:pt idx="79">
                  <c:v>6420.184615384616</c:v>
                </c:pt>
                <c:pt idx="80">
                  <c:v>6528.738461538462</c:v>
                </c:pt>
                <c:pt idx="81">
                  <c:v>6637.292307692309</c:v>
                </c:pt>
                <c:pt idx="82">
                  <c:v>6745.846153846154</c:v>
                </c:pt>
                <c:pt idx="83">
                  <c:v>6854.400000000001</c:v>
                </c:pt>
                <c:pt idx="84">
                  <c:v>11165.53846153846</c:v>
                </c:pt>
                <c:pt idx="85">
                  <c:v>15476.67692307692</c:v>
                </c:pt>
                <c:pt idx="86">
                  <c:v>19787.81538461539</c:v>
                </c:pt>
                <c:pt idx="87">
                  <c:v>24098.95384615385</c:v>
                </c:pt>
                <c:pt idx="88">
                  <c:v>28410.09230769231</c:v>
                </c:pt>
                <c:pt idx="89">
                  <c:v>32721.23076923077</c:v>
                </c:pt>
                <c:pt idx="90">
                  <c:v>37032.36923076924</c:v>
                </c:pt>
                <c:pt idx="91">
                  <c:v>41343.5076923077</c:v>
                </c:pt>
                <c:pt idx="92">
                  <c:v>45654.64615384615</c:v>
                </c:pt>
                <c:pt idx="93">
                  <c:v>49965.78461538462</c:v>
                </c:pt>
                <c:pt idx="94">
                  <c:v>54276.92307692309</c:v>
                </c:pt>
                <c:pt idx="95">
                  <c:v>58588.06153846154</c:v>
                </c:pt>
                <c:pt idx="96">
                  <c:v>62899.20000000001</c:v>
                </c:pt>
                <c:pt idx="97">
                  <c:v>62899.20000000001</c:v>
                </c:pt>
                <c:pt idx="98">
                  <c:v>62899.20000000001</c:v>
                </c:pt>
                <c:pt idx="99">
                  <c:v>62899.20000000001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0.533952516051964</c:v>
                </c:pt>
                <c:pt idx="22">
                  <c:v>1.067905032103927</c:v>
                </c:pt>
                <c:pt idx="23">
                  <c:v>1.601857548155891</c:v>
                </c:pt>
                <c:pt idx="24">
                  <c:v>2.135810064207855</c:v>
                </c:pt>
                <c:pt idx="25">
                  <c:v>2.669762580259818</c:v>
                </c:pt>
                <c:pt idx="26">
                  <c:v>3.203715096311782</c:v>
                </c:pt>
                <c:pt idx="27">
                  <c:v>3.737667612363746</c:v>
                </c:pt>
                <c:pt idx="28">
                  <c:v>4.27162012841571</c:v>
                </c:pt>
                <c:pt idx="29">
                  <c:v>4.805572644467673</c:v>
                </c:pt>
                <c:pt idx="30">
                  <c:v>5.339525160519636</c:v>
                </c:pt>
                <c:pt idx="31">
                  <c:v>5.873477676571601</c:v>
                </c:pt>
                <c:pt idx="32">
                  <c:v>6.407430192623563</c:v>
                </c:pt>
                <c:pt idx="33">
                  <c:v>6.941382708675527</c:v>
                </c:pt>
                <c:pt idx="34">
                  <c:v>7.475335224727492</c:v>
                </c:pt>
                <c:pt idx="35">
                  <c:v>8.009287740779456</c:v>
                </c:pt>
                <c:pt idx="36">
                  <c:v>8.54324025683142</c:v>
                </c:pt>
                <c:pt idx="37">
                  <c:v>9.077192772883382</c:v>
                </c:pt>
                <c:pt idx="38">
                  <c:v>9.611145288935345</c:v>
                </c:pt>
                <c:pt idx="39">
                  <c:v>10.14509780498731</c:v>
                </c:pt>
                <c:pt idx="40">
                  <c:v>10.67905032103927</c:v>
                </c:pt>
                <c:pt idx="41">
                  <c:v>11.21300283709124</c:v>
                </c:pt>
                <c:pt idx="42">
                  <c:v>11.7469553531432</c:v>
                </c:pt>
                <c:pt idx="43">
                  <c:v>12.28090786919516</c:v>
                </c:pt>
                <c:pt idx="44">
                  <c:v>12.81486038524713</c:v>
                </c:pt>
                <c:pt idx="45">
                  <c:v>13.34881290129909</c:v>
                </c:pt>
                <c:pt idx="46">
                  <c:v>13.88276541735106</c:v>
                </c:pt>
                <c:pt idx="47">
                  <c:v>14.41671793340302</c:v>
                </c:pt>
                <c:pt idx="48">
                  <c:v>14.95067044945498</c:v>
                </c:pt>
                <c:pt idx="49">
                  <c:v>15.48462296550695</c:v>
                </c:pt>
                <c:pt idx="50">
                  <c:v>16.01857548155891</c:v>
                </c:pt>
                <c:pt idx="51">
                  <c:v>16.55252799761087</c:v>
                </c:pt>
                <c:pt idx="52">
                  <c:v>17.08648051366284</c:v>
                </c:pt>
                <c:pt idx="53">
                  <c:v>17.6204330297148</c:v>
                </c:pt>
                <c:pt idx="54">
                  <c:v>18.15438554576676</c:v>
                </c:pt>
                <c:pt idx="55">
                  <c:v>18.68833806181873</c:v>
                </c:pt>
                <c:pt idx="56">
                  <c:v>19.22229057787069</c:v>
                </c:pt>
                <c:pt idx="57">
                  <c:v>19.75624309392266</c:v>
                </c:pt>
                <c:pt idx="58">
                  <c:v>19.75624309392266</c:v>
                </c:pt>
                <c:pt idx="59">
                  <c:v>19.75624309392266</c:v>
                </c:pt>
                <c:pt idx="60">
                  <c:v>19.75624309392266</c:v>
                </c:pt>
                <c:pt idx="61">
                  <c:v>19.75624309392266</c:v>
                </c:pt>
                <c:pt idx="62">
                  <c:v>19.75624309392266</c:v>
                </c:pt>
                <c:pt idx="63">
                  <c:v>19.75624309392266</c:v>
                </c:pt>
                <c:pt idx="64">
                  <c:v>19.75624309392266</c:v>
                </c:pt>
                <c:pt idx="65">
                  <c:v>19.75624309392266</c:v>
                </c:pt>
                <c:pt idx="66">
                  <c:v>19.75624309392266</c:v>
                </c:pt>
                <c:pt idx="67">
                  <c:v>19.75624309392266</c:v>
                </c:pt>
                <c:pt idx="68">
                  <c:v>19.75624309392266</c:v>
                </c:pt>
                <c:pt idx="69">
                  <c:v>19.75624309392266</c:v>
                </c:pt>
                <c:pt idx="70">
                  <c:v>19.75624309392266</c:v>
                </c:pt>
                <c:pt idx="71">
                  <c:v>19.75624309392266</c:v>
                </c:pt>
                <c:pt idx="72">
                  <c:v>19.75624309392266</c:v>
                </c:pt>
                <c:pt idx="73">
                  <c:v>19.75624309392266</c:v>
                </c:pt>
                <c:pt idx="74">
                  <c:v>19.75624309392266</c:v>
                </c:pt>
                <c:pt idx="75">
                  <c:v>19.75624309392266</c:v>
                </c:pt>
                <c:pt idx="76">
                  <c:v>19.75624309392266</c:v>
                </c:pt>
                <c:pt idx="77">
                  <c:v>19.75624309392266</c:v>
                </c:pt>
                <c:pt idx="78">
                  <c:v>19.75624309392266</c:v>
                </c:pt>
                <c:pt idx="79">
                  <c:v>19.75624309392266</c:v>
                </c:pt>
                <c:pt idx="80">
                  <c:v>19.75624309392266</c:v>
                </c:pt>
                <c:pt idx="81">
                  <c:v>19.75624309392266</c:v>
                </c:pt>
                <c:pt idx="82">
                  <c:v>19.75624309392266</c:v>
                </c:pt>
                <c:pt idx="83">
                  <c:v>19.75624309392266</c:v>
                </c:pt>
                <c:pt idx="84">
                  <c:v>20.06018529536762</c:v>
                </c:pt>
                <c:pt idx="85">
                  <c:v>20.36412749681258</c:v>
                </c:pt>
                <c:pt idx="86">
                  <c:v>20.66806969825755</c:v>
                </c:pt>
                <c:pt idx="87">
                  <c:v>20.97201189970251</c:v>
                </c:pt>
                <c:pt idx="88">
                  <c:v>21.27595410114748</c:v>
                </c:pt>
                <c:pt idx="89">
                  <c:v>21.57989630259244</c:v>
                </c:pt>
                <c:pt idx="90">
                  <c:v>21.8838385040374</c:v>
                </c:pt>
                <c:pt idx="91">
                  <c:v>22.18778070548237</c:v>
                </c:pt>
                <c:pt idx="92">
                  <c:v>22.49172290692733</c:v>
                </c:pt>
                <c:pt idx="93">
                  <c:v>22.7956651083723</c:v>
                </c:pt>
                <c:pt idx="94">
                  <c:v>23.09960730981726</c:v>
                </c:pt>
                <c:pt idx="95">
                  <c:v>23.40354951126222</c:v>
                </c:pt>
                <c:pt idx="96">
                  <c:v>23.70749171270719</c:v>
                </c:pt>
                <c:pt idx="97">
                  <c:v>23.70749171270719</c:v>
                </c:pt>
                <c:pt idx="98">
                  <c:v>23.70749171270719</c:v>
                </c:pt>
                <c:pt idx="99">
                  <c:v>23.70749171270719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22976.77558849172</c:v>
                </c:pt>
                <c:pt idx="1">
                  <c:v>22976.77558849172</c:v>
                </c:pt>
                <c:pt idx="2">
                  <c:v>22976.77558849172</c:v>
                </c:pt>
                <c:pt idx="3">
                  <c:v>22976.77558849172</c:v>
                </c:pt>
                <c:pt idx="4">
                  <c:v>22976.77558849172</c:v>
                </c:pt>
                <c:pt idx="5">
                  <c:v>22976.77558849172</c:v>
                </c:pt>
                <c:pt idx="6">
                  <c:v>22976.77558849172</c:v>
                </c:pt>
                <c:pt idx="7">
                  <c:v>22976.77558849172</c:v>
                </c:pt>
                <c:pt idx="8">
                  <c:v>22976.77558849172</c:v>
                </c:pt>
                <c:pt idx="9">
                  <c:v>22976.77558849172</c:v>
                </c:pt>
                <c:pt idx="10">
                  <c:v>22976.77558849172</c:v>
                </c:pt>
                <c:pt idx="11">
                  <c:v>22976.77558849172</c:v>
                </c:pt>
                <c:pt idx="12">
                  <c:v>22976.77558849172</c:v>
                </c:pt>
                <c:pt idx="13">
                  <c:v>22976.77558849172</c:v>
                </c:pt>
                <c:pt idx="14">
                  <c:v>22976.77558849172</c:v>
                </c:pt>
                <c:pt idx="15">
                  <c:v>22976.77558849172</c:v>
                </c:pt>
                <c:pt idx="16">
                  <c:v>22976.77558849172</c:v>
                </c:pt>
                <c:pt idx="17">
                  <c:v>22976.77558849172</c:v>
                </c:pt>
                <c:pt idx="18">
                  <c:v>22976.77558849172</c:v>
                </c:pt>
                <c:pt idx="19">
                  <c:v>22976.77558849172</c:v>
                </c:pt>
                <c:pt idx="20">
                  <c:v>22976.77558849172</c:v>
                </c:pt>
                <c:pt idx="21">
                  <c:v>22918.40490115224</c:v>
                </c:pt>
                <c:pt idx="22">
                  <c:v>22860.03421381277</c:v>
                </c:pt>
                <c:pt idx="23">
                  <c:v>22801.66352647329</c:v>
                </c:pt>
                <c:pt idx="24">
                  <c:v>22743.29283913382</c:v>
                </c:pt>
                <c:pt idx="25">
                  <c:v>22684.92215179434</c:v>
                </c:pt>
                <c:pt idx="26">
                  <c:v>22626.55146445487</c:v>
                </c:pt>
                <c:pt idx="27">
                  <c:v>22568.18077711539</c:v>
                </c:pt>
                <c:pt idx="28">
                  <c:v>22509.81008977592</c:v>
                </c:pt>
                <c:pt idx="29">
                  <c:v>22451.43940243644</c:v>
                </c:pt>
                <c:pt idx="30">
                  <c:v>22393.06871509696</c:v>
                </c:pt>
                <c:pt idx="31">
                  <c:v>22334.6980277575</c:v>
                </c:pt>
                <c:pt idx="32">
                  <c:v>22276.32734041801</c:v>
                </c:pt>
                <c:pt idx="33">
                  <c:v>22217.95665307854</c:v>
                </c:pt>
                <c:pt idx="34">
                  <c:v>22159.58596573906</c:v>
                </c:pt>
                <c:pt idx="35">
                  <c:v>22101.21527839959</c:v>
                </c:pt>
                <c:pt idx="36">
                  <c:v>22042.84459106011</c:v>
                </c:pt>
                <c:pt idx="37">
                  <c:v>21984.47390372064</c:v>
                </c:pt>
                <c:pt idx="38">
                  <c:v>21926.10321638116</c:v>
                </c:pt>
                <c:pt idx="39">
                  <c:v>21867.73252904168</c:v>
                </c:pt>
                <c:pt idx="40">
                  <c:v>21809.36184170221</c:v>
                </c:pt>
                <c:pt idx="41">
                  <c:v>21750.99115436273</c:v>
                </c:pt>
                <c:pt idx="42">
                  <c:v>21692.62046702326</c:v>
                </c:pt>
                <c:pt idx="43">
                  <c:v>21634.24977968378</c:v>
                </c:pt>
                <c:pt idx="44">
                  <c:v>21575.87909234431</c:v>
                </c:pt>
                <c:pt idx="45">
                  <c:v>21517.50840500483</c:v>
                </c:pt>
                <c:pt idx="46">
                  <c:v>21459.13771766536</c:v>
                </c:pt>
                <c:pt idx="47">
                  <c:v>21400.76703032588</c:v>
                </c:pt>
                <c:pt idx="48">
                  <c:v>21342.39634298641</c:v>
                </c:pt>
                <c:pt idx="49">
                  <c:v>21284.02565564693</c:v>
                </c:pt>
                <c:pt idx="50">
                  <c:v>21225.65496830746</c:v>
                </c:pt>
                <c:pt idx="51">
                  <c:v>21167.28428096798</c:v>
                </c:pt>
                <c:pt idx="52">
                  <c:v>21108.9135936285</c:v>
                </c:pt>
                <c:pt idx="53">
                  <c:v>21050.54290628903</c:v>
                </c:pt>
                <c:pt idx="54">
                  <c:v>20992.17221894955</c:v>
                </c:pt>
                <c:pt idx="55">
                  <c:v>20933.80153161008</c:v>
                </c:pt>
                <c:pt idx="56">
                  <c:v>20875.4308442706</c:v>
                </c:pt>
                <c:pt idx="57">
                  <c:v>20817.06015693113</c:v>
                </c:pt>
                <c:pt idx="58">
                  <c:v>20374.49828985313</c:v>
                </c:pt>
                <c:pt idx="59">
                  <c:v>19931.93642277513</c:v>
                </c:pt>
                <c:pt idx="60">
                  <c:v>19489.37455569714</c:v>
                </c:pt>
                <c:pt idx="61">
                  <c:v>19046.81268861914</c:v>
                </c:pt>
                <c:pt idx="62">
                  <c:v>18604.25082154114</c:v>
                </c:pt>
                <c:pt idx="63">
                  <c:v>18161.68895446315</c:v>
                </c:pt>
                <c:pt idx="64">
                  <c:v>17719.12708738515</c:v>
                </c:pt>
                <c:pt idx="65">
                  <c:v>17276.56522030716</c:v>
                </c:pt>
                <c:pt idx="66">
                  <c:v>16834.00335322916</c:v>
                </c:pt>
                <c:pt idx="67">
                  <c:v>16391.44148615117</c:v>
                </c:pt>
                <c:pt idx="68">
                  <c:v>15948.87961907317</c:v>
                </c:pt>
                <c:pt idx="69">
                  <c:v>15506.31775199517</c:v>
                </c:pt>
                <c:pt idx="70">
                  <c:v>15063.75588491718</c:v>
                </c:pt>
                <c:pt idx="71">
                  <c:v>14621.19401783918</c:v>
                </c:pt>
                <c:pt idx="72">
                  <c:v>14178.63215076118</c:v>
                </c:pt>
                <c:pt idx="73">
                  <c:v>13736.07028368319</c:v>
                </c:pt>
                <c:pt idx="74">
                  <c:v>13293.50841660519</c:v>
                </c:pt>
                <c:pt idx="75">
                  <c:v>12850.9465495272</c:v>
                </c:pt>
                <c:pt idx="76">
                  <c:v>12408.3846824492</c:v>
                </c:pt>
                <c:pt idx="77">
                  <c:v>11965.8228153712</c:v>
                </c:pt>
                <c:pt idx="78">
                  <c:v>11523.26094829321</c:v>
                </c:pt>
                <c:pt idx="79">
                  <c:v>11080.69908121521</c:v>
                </c:pt>
                <c:pt idx="80">
                  <c:v>10638.13721413722</c:v>
                </c:pt>
                <c:pt idx="81">
                  <c:v>10195.57534705922</c:v>
                </c:pt>
                <c:pt idx="82">
                  <c:v>9753.013479981224</c:v>
                </c:pt>
                <c:pt idx="83">
                  <c:v>9310.451612903227</c:v>
                </c:pt>
                <c:pt idx="84">
                  <c:v>9453.689330024816</c:v>
                </c:pt>
                <c:pt idx="85">
                  <c:v>9596.927047146404</c:v>
                </c:pt>
                <c:pt idx="86">
                  <c:v>9740.164764267991</c:v>
                </c:pt>
                <c:pt idx="87">
                  <c:v>9883.40248138958</c:v>
                </c:pt>
                <c:pt idx="88">
                  <c:v>10026.64019851117</c:v>
                </c:pt>
                <c:pt idx="89">
                  <c:v>10169.87791563276</c:v>
                </c:pt>
                <c:pt idx="90">
                  <c:v>10313.11563275434</c:v>
                </c:pt>
                <c:pt idx="91">
                  <c:v>10456.35334987593</c:v>
                </c:pt>
                <c:pt idx="92">
                  <c:v>10599.59106699752</c:v>
                </c:pt>
                <c:pt idx="93">
                  <c:v>10742.82878411911</c:v>
                </c:pt>
                <c:pt idx="94">
                  <c:v>10886.0665012407</c:v>
                </c:pt>
                <c:pt idx="95">
                  <c:v>11029.30421836228</c:v>
                </c:pt>
                <c:pt idx="96">
                  <c:v>11172.54193548387</c:v>
                </c:pt>
                <c:pt idx="97">
                  <c:v>11172.54193548387</c:v>
                </c:pt>
                <c:pt idx="98">
                  <c:v>11172.54193548387</c:v>
                </c:pt>
                <c:pt idx="99">
                  <c:v>11172.54193548387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5553864"/>
        <c:axId val="187554303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21863.86968686116</c:v>
                </c:pt>
                <c:pt idx="1">
                  <c:v>21863.86968686116</c:v>
                </c:pt>
                <c:pt idx="2">
                  <c:v>21863.86968686116</c:v>
                </c:pt>
                <c:pt idx="3">
                  <c:v>21863.86968686116</c:v>
                </c:pt>
                <c:pt idx="4">
                  <c:v>21863.86968686116</c:v>
                </c:pt>
                <c:pt idx="5">
                  <c:v>21863.86968686116</c:v>
                </c:pt>
                <c:pt idx="6">
                  <c:v>21863.86968686116</c:v>
                </c:pt>
                <c:pt idx="7">
                  <c:v>21863.86968686116</c:v>
                </c:pt>
                <c:pt idx="8">
                  <c:v>21863.86968686116</c:v>
                </c:pt>
                <c:pt idx="9">
                  <c:v>21863.86968686116</c:v>
                </c:pt>
                <c:pt idx="10">
                  <c:v>21863.86968686116</c:v>
                </c:pt>
                <c:pt idx="11">
                  <c:v>21863.86968686116</c:v>
                </c:pt>
                <c:pt idx="12">
                  <c:v>21863.86968686116</c:v>
                </c:pt>
                <c:pt idx="13">
                  <c:v>21863.86968686116</c:v>
                </c:pt>
                <c:pt idx="14">
                  <c:v>21863.86968686116</c:v>
                </c:pt>
                <c:pt idx="15">
                  <c:v>21863.86968686116</c:v>
                </c:pt>
                <c:pt idx="16">
                  <c:v>21863.86968686116</c:v>
                </c:pt>
                <c:pt idx="17">
                  <c:v>21863.86968686116</c:v>
                </c:pt>
                <c:pt idx="18">
                  <c:v>21863.86968686116</c:v>
                </c:pt>
                <c:pt idx="19">
                  <c:v>21863.86968686116</c:v>
                </c:pt>
                <c:pt idx="20">
                  <c:v>21863.86968686116</c:v>
                </c:pt>
                <c:pt idx="21">
                  <c:v>21863.86968686116</c:v>
                </c:pt>
                <c:pt idx="22">
                  <c:v>21863.86968686116</c:v>
                </c:pt>
                <c:pt idx="23">
                  <c:v>21863.86968686116</c:v>
                </c:pt>
                <c:pt idx="24">
                  <c:v>21863.86968686116</c:v>
                </c:pt>
                <c:pt idx="25">
                  <c:v>21863.86968686116</c:v>
                </c:pt>
                <c:pt idx="26">
                  <c:v>21863.86968686116</c:v>
                </c:pt>
                <c:pt idx="27">
                  <c:v>21863.86968686116</c:v>
                </c:pt>
                <c:pt idx="28">
                  <c:v>21863.86968686116</c:v>
                </c:pt>
                <c:pt idx="29">
                  <c:v>21863.86968686116</c:v>
                </c:pt>
                <c:pt idx="30">
                  <c:v>21863.86968686116</c:v>
                </c:pt>
                <c:pt idx="31">
                  <c:v>21863.86968686116</c:v>
                </c:pt>
                <c:pt idx="32">
                  <c:v>21863.86968686116</c:v>
                </c:pt>
                <c:pt idx="33">
                  <c:v>21863.86968686116</c:v>
                </c:pt>
                <c:pt idx="34">
                  <c:v>21863.86968686116</c:v>
                </c:pt>
                <c:pt idx="35">
                  <c:v>21863.86968686116</c:v>
                </c:pt>
                <c:pt idx="36">
                  <c:v>21863.86968686116</c:v>
                </c:pt>
                <c:pt idx="37">
                  <c:v>21863.86968686116</c:v>
                </c:pt>
                <c:pt idx="38">
                  <c:v>21863.86968686116</c:v>
                </c:pt>
                <c:pt idx="39">
                  <c:v>21863.86968686116</c:v>
                </c:pt>
                <c:pt idx="40">
                  <c:v>21863.86968686116</c:v>
                </c:pt>
                <c:pt idx="41">
                  <c:v>21863.86968686116</c:v>
                </c:pt>
                <c:pt idx="42">
                  <c:v>21863.86968686116</c:v>
                </c:pt>
                <c:pt idx="43">
                  <c:v>21863.86968686116</c:v>
                </c:pt>
                <c:pt idx="44">
                  <c:v>21863.86968686116</c:v>
                </c:pt>
                <c:pt idx="45">
                  <c:v>21863.86968686116</c:v>
                </c:pt>
                <c:pt idx="46">
                  <c:v>21863.86968686116</c:v>
                </c:pt>
                <c:pt idx="47">
                  <c:v>21863.86968686116</c:v>
                </c:pt>
                <c:pt idx="48">
                  <c:v>21863.86968686116</c:v>
                </c:pt>
                <c:pt idx="49">
                  <c:v>21863.86968686116</c:v>
                </c:pt>
                <c:pt idx="50">
                  <c:v>21863.86968686116</c:v>
                </c:pt>
                <c:pt idx="51">
                  <c:v>21863.86968686116</c:v>
                </c:pt>
                <c:pt idx="52">
                  <c:v>21863.86968686116</c:v>
                </c:pt>
                <c:pt idx="53">
                  <c:v>21863.86968686116</c:v>
                </c:pt>
                <c:pt idx="54">
                  <c:v>21863.86968686116</c:v>
                </c:pt>
                <c:pt idx="55">
                  <c:v>21863.86968686116</c:v>
                </c:pt>
                <c:pt idx="56">
                  <c:v>21863.86968686116</c:v>
                </c:pt>
                <c:pt idx="57">
                  <c:v>21863.86968686116</c:v>
                </c:pt>
                <c:pt idx="58">
                  <c:v>21863.86968686116</c:v>
                </c:pt>
                <c:pt idx="59">
                  <c:v>21863.86968686116</c:v>
                </c:pt>
                <c:pt idx="60">
                  <c:v>21863.86968686116</c:v>
                </c:pt>
                <c:pt idx="61">
                  <c:v>21863.86968686116</c:v>
                </c:pt>
                <c:pt idx="62">
                  <c:v>21863.86968686116</c:v>
                </c:pt>
                <c:pt idx="63">
                  <c:v>21863.86968686116</c:v>
                </c:pt>
                <c:pt idx="64">
                  <c:v>21863.86968686116</c:v>
                </c:pt>
                <c:pt idx="65">
                  <c:v>21863.86968686116</c:v>
                </c:pt>
                <c:pt idx="66">
                  <c:v>21863.86968686116</c:v>
                </c:pt>
                <c:pt idx="67">
                  <c:v>21863.86968686116</c:v>
                </c:pt>
                <c:pt idx="68">
                  <c:v>21863.86968686116</c:v>
                </c:pt>
                <c:pt idx="69">
                  <c:v>21863.86968686116</c:v>
                </c:pt>
                <c:pt idx="70">
                  <c:v>21863.86968686116</c:v>
                </c:pt>
                <c:pt idx="71">
                  <c:v>21863.86968686116</c:v>
                </c:pt>
                <c:pt idx="72">
                  <c:v>21863.86968686116</c:v>
                </c:pt>
                <c:pt idx="73">
                  <c:v>21863.86968686116</c:v>
                </c:pt>
                <c:pt idx="74">
                  <c:v>21863.86968686116</c:v>
                </c:pt>
                <c:pt idx="75">
                  <c:v>21863.86968686116</c:v>
                </c:pt>
                <c:pt idx="76">
                  <c:v>21863.86968686116</c:v>
                </c:pt>
                <c:pt idx="77">
                  <c:v>21863.86968686116</c:v>
                </c:pt>
                <c:pt idx="78">
                  <c:v>21863.86968686116</c:v>
                </c:pt>
                <c:pt idx="79">
                  <c:v>21863.86968686116</c:v>
                </c:pt>
                <c:pt idx="80">
                  <c:v>21863.86968686116</c:v>
                </c:pt>
                <c:pt idx="81">
                  <c:v>21863.86968686116</c:v>
                </c:pt>
                <c:pt idx="82">
                  <c:v>21863.86968686116</c:v>
                </c:pt>
                <c:pt idx="83">
                  <c:v>21863.86968686116</c:v>
                </c:pt>
                <c:pt idx="84">
                  <c:v>21863.86968686116</c:v>
                </c:pt>
                <c:pt idx="85">
                  <c:v>21863.86968686116</c:v>
                </c:pt>
                <c:pt idx="86">
                  <c:v>21863.86968686116</c:v>
                </c:pt>
                <c:pt idx="87">
                  <c:v>21863.86968686116</c:v>
                </c:pt>
                <c:pt idx="88">
                  <c:v>21863.86968686116</c:v>
                </c:pt>
                <c:pt idx="89">
                  <c:v>21863.86968686116</c:v>
                </c:pt>
                <c:pt idx="90">
                  <c:v>21863.86968686116</c:v>
                </c:pt>
                <c:pt idx="91">
                  <c:v>21863.86968686116</c:v>
                </c:pt>
                <c:pt idx="92">
                  <c:v>21863.86968686116</c:v>
                </c:pt>
                <c:pt idx="93">
                  <c:v>21863.86968686116</c:v>
                </c:pt>
                <c:pt idx="94">
                  <c:v>21863.86968686116</c:v>
                </c:pt>
                <c:pt idx="95">
                  <c:v>21863.86968686116</c:v>
                </c:pt>
                <c:pt idx="96">
                  <c:v>21863.86968686116</c:v>
                </c:pt>
                <c:pt idx="97">
                  <c:v>21863.86968686116</c:v>
                </c:pt>
                <c:pt idx="98">
                  <c:v>21863.86968686116</c:v>
                </c:pt>
                <c:pt idx="99">
                  <c:v>21863.86968686116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553864"/>
        <c:axId val="1875543032"/>
      </c:lineChart>
      <c:catAx>
        <c:axId val="18755538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755430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755430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7555386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62.36989354028167</c:v>
                </c:pt>
                <c:pt idx="1">
                  <c:v>55.79842949738091</c:v>
                </c:pt>
                <c:pt idx="2">
                  <c:v>-12.34399998440855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372.1846153846154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-30.51243243243243</c:v>
                </c:pt>
                <c:pt idx="1">
                  <c:v>1097.6</c:v>
                </c:pt>
                <c:pt idx="2">
                  <c:v>-2629.415384615385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0.533952516051964</c:v>
                </c:pt>
                <c:pt idx="1">
                  <c:v>0.0</c:v>
                </c:pt>
                <c:pt idx="2">
                  <c:v>0.303942201444964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-58.37068733947554</c:v>
                </c:pt>
                <c:pt idx="1">
                  <c:v>-442.5618670779961</c:v>
                </c:pt>
                <c:pt idx="2">
                  <c:v>143.2377171215881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358040"/>
        <c:axId val="187533754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4.510061942438204</c:v>
                </c:pt>
                <c:pt idx="1">
                  <c:v>10.71705623823052</c:v>
                </c:pt>
                <c:pt idx="2">
                  <c:v>69.51890589617844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109.8810810810811</c:v>
                </c:pt>
                <c:pt idx="1">
                  <c:v>300.2461538461539</c:v>
                </c:pt>
                <c:pt idx="2">
                  <c:v>906.3384615384618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124.5016216216217</c:v>
                </c:pt>
                <c:pt idx="1">
                  <c:v>-524.0307692307693</c:v>
                </c:pt>
                <c:pt idx="2">
                  <c:v>-64.61538461538461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3437.538461538462</c:v>
                </c:pt>
                <c:pt idx="2">
                  <c:v>20418.46153846154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108.972972972973</c:v>
                </c:pt>
                <c:pt idx="1">
                  <c:v>108.5538461538462</c:v>
                </c:pt>
                <c:pt idx="2">
                  <c:v>4311.138461538462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341144"/>
        <c:axId val="1875344136"/>
      </c:scatterChart>
      <c:valAx>
        <c:axId val="187535804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75337544"/>
        <c:crosses val="autoZero"/>
        <c:crossBetween val="midCat"/>
      </c:valAx>
      <c:valAx>
        <c:axId val="18753375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75358040"/>
        <c:crosses val="autoZero"/>
        <c:crossBetween val="midCat"/>
      </c:valAx>
      <c:valAx>
        <c:axId val="187534114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875344136"/>
        <c:crosses val="autoZero"/>
        <c:crossBetween val="midCat"/>
      </c:valAx>
      <c:valAx>
        <c:axId val="187534413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7534114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344.9526948309526</c:v>
                </c:pt>
                <c:pt idx="1">
                  <c:v>344.9526948309526</c:v>
                </c:pt>
                <c:pt idx="2">
                  <c:v>344.9526948309526</c:v>
                </c:pt>
                <c:pt idx="3">
                  <c:v>344.9526948309526</c:v>
                </c:pt>
                <c:pt idx="4">
                  <c:v>344.9526948309526</c:v>
                </c:pt>
                <c:pt idx="5">
                  <c:v>344.9526948309526</c:v>
                </c:pt>
                <c:pt idx="6">
                  <c:v>344.9526948309526</c:v>
                </c:pt>
                <c:pt idx="7">
                  <c:v>344.9526948309526</c:v>
                </c:pt>
                <c:pt idx="8">
                  <c:v>344.9526948309526</c:v>
                </c:pt>
                <c:pt idx="9">
                  <c:v>344.9526948309526</c:v>
                </c:pt>
                <c:pt idx="10">
                  <c:v>344.9526948309526</c:v>
                </c:pt>
                <c:pt idx="11">
                  <c:v>344.9526948309526</c:v>
                </c:pt>
                <c:pt idx="12">
                  <c:v>344.9526948309526</c:v>
                </c:pt>
                <c:pt idx="13">
                  <c:v>344.9526948309526</c:v>
                </c:pt>
                <c:pt idx="14">
                  <c:v>344.9526948309526</c:v>
                </c:pt>
                <c:pt idx="15">
                  <c:v>344.9526948309526</c:v>
                </c:pt>
                <c:pt idx="16">
                  <c:v>344.9526948309526</c:v>
                </c:pt>
                <c:pt idx="17">
                  <c:v>344.9526948309526</c:v>
                </c:pt>
                <c:pt idx="18">
                  <c:v>344.9526948309526</c:v>
                </c:pt>
                <c:pt idx="19">
                  <c:v>344.9526948309526</c:v>
                </c:pt>
                <c:pt idx="20">
                  <c:v>344.9526948309526</c:v>
                </c:pt>
                <c:pt idx="21">
                  <c:v>407.3225883712343</c:v>
                </c:pt>
                <c:pt idx="22">
                  <c:v>469.692481911516</c:v>
                </c:pt>
                <c:pt idx="23">
                  <c:v>532.0623754517976</c:v>
                </c:pt>
                <c:pt idx="24">
                  <c:v>594.4322689920793</c:v>
                </c:pt>
                <c:pt idx="25">
                  <c:v>656.802162532361</c:v>
                </c:pt>
                <c:pt idx="26">
                  <c:v>719.1720560726425</c:v>
                </c:pt>
                <c:pt idx="27">
                  <c:v>781.5419496129243</c:v>
                </c:pt>
                <c:pt idx="28">
                  <c:v>843.9118431532061</c:v>
                </c:pt>
                <c:pt idx="29">
                  <c:v>906.2817366934876</c:v>
                </c:pt>
                <c:pt idx="30">
                  <c:v>968.6516302337693</c:v>
                </c:pt>
                <c:pt idx="31">
                  <c:v>1031.021523774051</c:v>
                </c:pt>
                <c:pt idx="32">
                  <c:v>1093.391417314333</c:v>
                </c:pt>
                <c:pt idx="33">
                  <c:v>1155.761310854614</c:v>
                </c:pt>
                <c:pt idx="34">
                  <c:v>1218.131204394896</c:v>
                </c:pt>
                <c:pt idx="35">
                  <c:v>1280.501097935178</c:v>
                </c:pt>
                <c:pt idx="36">
                  <c:v>1342.87099147546</c:v>
                </c:pt>
                <c:pt idx="37">
                  <c:v>1405.240885015741</c:v>
                </c:pt>
                <c:pt idx="38">
                  <c:v>1467.610778556023</c:v>
                </c:pt>
                <c:pt idx="39">
                  <c:v>1529.980672096304</c:v>
                </c:pt>
                <c:pt idx="40">
                  <c:v>1592.350565636586</c:v>
                </c:pt>
                <c:pt idx="41">
                  <c:v>1654.720459176868</c:v>
                </c:pt>
                <c:pt idx="42">
                  <c:v>1717.090352717149</c:v>
                </c:pt>
                <c:pt idx="43">
                  <c:v>1779.460246257431</c:v>
                </c:pt>
                <c:pt idx="44">
                  <c:v>1841.830139797713</c:v>
                </c:pt>
                <c:pt idx="45">
                  <c:v>1904.200033337994</c:v>
                </c:pt>
                <c:pt idx="46">
                  <c:v>1966.569926878276</c:v>
                </c:pt>
                <c:pt idx="47">
                  <c:v>2028.939820418558</c:v>
                </c:pt>
                <c:pt idx="48">
                  <c:v>2091.30971395884</c:v>
                </c:pt>
                <c:pt idx="49">
                  <c:v>2153.679607499121</c:v>
                </c:pt>
                <c:pt idx="50">
                  <c:v>2216.049501039403</c:v>
                </c:pt>
                <c:pt idx="51">
                  <c:v>2278.419394579684</c:v>
                </c:pt>
                <c:pt idx="52">
                  <c:v>2340.789288119966</c:v>
                </c:pt>
                <c:pt idx="53">
                  <c:v>2403.159181660248</c:v>
                </c:pt>
                <c:pt idx="54">
                  <c:v>2465.52907520053</c:v>
                </c:pt>
                <c:pt idx="55">
                  <c:v>2527.898968740811</c:v>
                </c:pt>
                <c:pt idx="56">
                  <c:v>2590.268862281093</c:v>
                </c:pt>
                <c:pt idx="57">
                  <c:v>2652.638755821375</c:v>
                </c:pt>
                <c:pt idx="58">
                  <c:v>2708.437185318755</c:v>
                </c:pt>
                <c:pt idx="59">
                  <c:v>2764.235614816137</c:v>
                </c:pt>
                <c:pt idx="60">
                  <c:v>2820.034044313517</c:v>
                </c:pt>
                <c:pt idx="61">
                  <c:v>2875.832473810898</c:v>
                </c:pt>
                <c:pt idx="62">
                  <c:v>2931.630903308279</c:v>
                </c:pt>
                <c:pt idx="63">
                  <c:v>2987.42933280566</c:v>
                </c:pt>
                <c:pt idx="64">
                  <c:v>3043.227762303041</c:v>
                </c:pt>
                <c:pt idx="65">
                  <c:v>3099.026191800422</c:v>
                </c:pt>
                <c:pt idx="66">
                  <c:v>3154.824621297803</c:v>
                </c:pt>
                <c:pt idx="67">
                  <c:v>3210.623050795184</c:v>
                </c:pt>
                <c:pt idx="68">
                  <c:v>3266.421480292564</c:v>
                </c:pt>
                <c:pt idx="69">
                  <c:v>3322.219909789946</c:v>
                </c:pt>
                <c:pt idx="70">
                  <c:v>3378.018339287326</c:v>
                </c:pt>
                <c:pt idx="71">
                  <c:v>3433.816768784707</c:v>
                </c:pt>
                <c:pt idx="72">
                  <c:v>3489.615198282088</c:v>
                </c:pt>
                <c:pt idx="73">
                  <c:v>3545.41362777947</c:v>
                </c:pt>
                <c:pt idx="74">
                  <c:v>3601.21205727685</c:v>
                </c:pt>
                <c:pt idx="75">
                  <c:v>3657.010486774231</c:v>
                </c:pt>
                <c:pt idx="76">
                  <c:v>3712.808916271612</c:v>
                </c:pt>
                <c:pt idx="77">
                  <c:v>3768.607345768993</c:v>
                </c:pt>
                <c:pt idx="78">
                  <c:v>3824.405775266374</c:v>
                </c:pt>
                <c:pt idx="79">
                  <c:v>3880.204204763755</c:v>
                </c:pt>
                <c:pt idx="80">
                  <c:v>3936.002634261135</c:v>
                </c:pt>
                <c:pt idx="81">
                  <c:v>3991.801063758517</c:v>
                </c:pt>
                <c:pt idx="82">
                  <c:v>4047.599493255897</c:v>
                </c:pt>
                <c:pt idx="83">
                  <c:v>4103.397922753278</c:v>
                </c:pt>
                <c:pt idx="84">
                  <c:v>4091.05392276887</c:v>
                </c:pt>
                <c:pt idx="85">
                  <c:v>4078.709922784461</c:v>
                </c:pt>
                <c:pt idx="86">
                  <c:v>4066.365922800052</c:v>
                </c:pt>
                <c:pt idx="87">
                  <c:v>4054.021922815644</c:v>
                </c:pt>
                <c:pt idx="88">
                  <c:v>4041.677922831235</c:v>
                </c:pt>
                <c:pt idx="89">
                  <c:v>4029.333922846826</c:v>
                </c:pt>
                <c:pt idx="90">
                  <c:v>4016.989922862418</c:v>
                </c:pt>
                <c:pt idx="91">
                  <c:v>4004.64592287801</c:v>
                </c:pt>
                <c:pt idx="92">
                  <c:v>3992.301922893601</c:v>
                </c:pt>
                <c:pt idx="93">
                  <c:v>3979.957922909193</c:v>
                </c:pt>
                <c:pt idx="94">
                  <c:v>3967.613922924784</c:v>
                </c:pt>
                <c:pt idx="95">
                  <c:v>3955.269922940376</c:v>
                </c:pt>
                <c:pt idx="96">
                  <c:v>3942.925922955967</c:v>
                </c:pt>
                <c:pt idx="97">
                  <c:v>4049.285922955967</c:v>
                </c:pt>
                <c:pt idx="98">
                  <c:v>4155.645922955966</c:v>
                </c:pt>
                <c:pt idx="99">
                  <c:v>4262.005922955967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372.1846153846154</c:v>
                </c:pt>
                <c:pt idx="85">
                  <c:v>744.3692307692307</c:v>
                </c:pt>
                <c:pt idx="86">
                  <c:v>1116.553846153846</c:v>
                </c:pt>
                <c:pt idx="87">
                  <c:v>1488.738461538461</c:v>
                </c:pt>
                <c:pt idx="88">
                  <c:v>1860.923076923077</c:v>
                </c:pt>
                <c:pt idx="89">
                  <c:v>2233.107692307692</c:v>
                </c:pt>
                <c:pt idx="90">
                  <c:v>2605.292307692308</c:v>
                </c:pt>
                <c:pt idx="91">
                  <c:v>2977.476923076923</c:v>
                </c:pt>
                <c:pt idx="92">
                  <c:v>3349.661538461538</c:v>
                </c:pt>
                <c:pt idx="93">
                  <c:v>3721.846153846153</c:v>
                </c:pt>
                <c:pt idx="94">
                  <c:v>4094.03076923077</c:v>
                </c:pt>
                <c:pt idx="95">
                  <c:v>4466.215384615384</c:v>
                </c:pt>
                <c:pt idx="96">
                  <c:v>4838.4</c:v>
                </c:pt>
                <c:pt idx="97">
                  <c:v>5563.26</c:v>
                </c:pt>
                <c:pt idx="98">
                  <c:v>6288.12</c:v>
                </c:pt>
                <c:pt idx="99">
                  <c:v>7012.98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4.510061942438204</c:v>
                </c:pt>
                <c:pt idx="22">
                  <c:v>9.020123884876408</c:v>
                </c:pt>
                <c:pt idx="23">
                  <c:v>13.53018582731461</c:v>
                </c:pt>
                <c:pt idx="24">
                  <c:v>18.04024776975282</c:v>
                </c:pt>
                <c:pt idx="25">
                  <c:v>22.55030971219102</c:v>
                </c:pt>
                <c:pt idx="26">
                  <c:v>27.06037165462923</c:v>
                </c:pt>
                <c:pt idx="27">
                  <c:v>31.57043359706743</c:v>
                </c:pt>
                <c:pt idx="28">
                  <c:v>36.08049553950563</c:v>
                </c:pt>
                <c:pt idx="29">
                  <c:v>40.59055748194384</c:v>
                </c:pt>
                <c:pt idx="30">
                  <c:v>45.10061942438205</c:v>
                </c:pt>
                <c:pt idx="31">
                  <c:v>49.61068136682024</c:v>
                </c:pt>
                <c:pt idx="32">
                  <c:v>54.12074330925845</c:v>
                </c:pt>
                <c:pt idx="33">
                  <c:v>58.63080525169666</c:v>
                </c:pt>
                <c:pt idx="34">
                  <c:v>63.14086719413486</c:v>
                </c:pt>
                <c:pt idx="35">
                  <c:v>67.65092913657307</c:v>
                </c:pt>
                <c:pt idx="36">
                  <c:v>72.16099107901127</c:v>
                </c:pt>
                <c:pt idx="37">
                  <c:v>76.67105302144947</c:v>
                </c:pt>
                <c:pt idx="38">
                  <c:v>81.18111496388767</c:v>
                </c:pt>
                <c:pt idx="39">
                  <c:v>85.69117690632588</c:v>
                </c:pt>
                <c:pt idx="40">
                  <c:v>90.20123884876409</c:v>
                </c:pt>
                <c:pt idx="41">
                  <c:v>94.7113007912023</c:v>
                </c:pt>
                <c:pt idx="42">
                  <c:v>99.22136273364049</c:v>
                </c:pt>
                <c:pt idx="43">
                  <c:v>103.7314246760787</c:v>
                </c:pt>
                <c:pt idx="44">
                  <c:v>108.241486618517</c:v>
                </c:pt>
                <c:pt idx="45">
                  <c:v>112.7515485609551</c:v>
                </c:pt>
                <c:pt idx="46">
                  <c:v>117.2616105033933</c:v>
                </c:pt>
                <c:pt idx="47">
                  <c:v>121.7716724458315</c:v>
                </c:pt>
                <c:pt idx="48">
                  <c:v>126.2817343882697</c:v>
                </c:pt>
                <c:pt idx="49">
                  <c:v>130.791796330708</c:v>
                </c:pt>
                <c:pt idx="50">
                  <c:v>135.3018582731461</c:v>
                </c:pt>
                <c:pt idx="51">
                  <c:v>139.8119202155843</c:v>
                </c:pt>
                <c:pt idx="52">
                  <c:v>144.3219821580225</c:v>
                </c:pt>
                <c:pt idx="53">
                  <c:v>148.8320441004607</c:v>
                </c:pt>
                <c:pt idx="54">
                  <c:v>153.342106042899</c:v>
                </c:pt>
                <c:pt idx="55">
                  <c:v>157.8521679853371</c:v>
                </c:pt>
                <c:pt idx="56">
                  <c:v>162.3622299277753</c:v>
                </c:pt>
                <c:pt idx="57">
                  <c:v>166.8722918702135</c:v>
                </c:pt>
                <c:pt idx="58">
                  <c:v>177.5893481084441</c:v>
                </c:pt>
                <c:pt idx="59">
                  <c:v>188.3064043466746</c:v>
                </c:pt>
                <c:pt idx="60">
                  <c:v>199.0234605849051</c:v>
                </c:pt>
                <c:pt idx="61">
                  <c:v>209.7405168231357</c:v>
                </c:pt>
                <c:pt idx="62">
                  <c:v>220.4575730613662</c:v>
                </c:pt>
                <c:pt idx="63">
                  <c:v>231.1746292995967</c:v>
                </c:pt>
                <c:pt idx="64">
                  <c:v>241.8916855378272</c:v>
                </c:pt>
                <c:pt idx="65">
                  <c:v>252.6087417760577</c:v>
                </c:pt>
                <c:pt idx="66">
                  <c:v>263.3257980142883</c:v>
                </c:pt>
                <c:pt idx="67">
                  <c:v>274.0428542525188</c:v>
                </c:pt>
                <c:pt idx="68">
                  <c:v>284.7599104907493</c:v>
                </c:pt>
                <c:pt idx="69">
                  <c:v>295.4769667289798</c:v>
                </c:pt>
                <c:pt idx="70">
                  <c:v>306.1940229672103</c:v>
                </c:pt>
                <c:pt idx="71">
                  <c:v>316.9110792054409</c:v>
                </c:pt>
                <c:pt idx="72">
                  <c:v>327.6281354436715</c:v>
                </c:pt>
                <c:pt idx="73">
                  <c:v>338.345191681902</c:v>
                </c:pt>
                <c:pt idx="74">
                  <c:v>349.0622479201324</c:v>
                </c:pt>
                <c:pt idx="75">
                  <c:v>359.779304158363</c:v>
                </c:pt>
                <c:pt idx="76">
                  <c:v>370.4963603965936</c:v>
                </c:pt>
                <c:pt idx="77">
                  <c:v>381.2134166348241</c:v>
                </c:pt>
                <c:pt idx="78">
                  <c:v>391.9304728730546</c:v>
                </c:pt>
                <c:pt idx="79">
                  <c:v>402.6475291112851</c:v>
                </c:pt>
                <c:pt idx="80">
                  <c:v>413.3645853495156</c:v>
                </c:pt>
                <c:pt idx="81">
                  <c:v>424.0816415877461</c:v>
                </c:pt>
                <c:pt idx="82">
                  <c:v>434.7986978259767</c:v>
                </c:pt>
                <c:pt idx="83">
                  <c:v>445.5157540642072</c:v>
                </c:pt>
                <c:pt idx="84">
                  <c:v>515.0346599603856</c:v>
                </c:pt>
                <c:pt idx="85">
                  <c:v>584.5535658565641</c:v>
                </c:pt>
                <c:pt idx="86">
                  <c:v>654.0724717527425</c:v>
                </c:pt>
                <c:pt idx="87">
                  <c:v>723.591377648921</c:v>
                </c:pt>
                <c:pt idx="88">
                  <c:v>793.1102835450994</c:v>
                </c:pt>
                <c:pt idx="89">
                  <c:v>862.6291894412778</c:v>
                </c:pt>
                <c:pt idx="90">
                  <c:v>932.1480953374561</c:v>
                </c:pt>
                <c:pt idx="91">
                  <c:v>1001.667001233635</c:v>
                </c:pt>
                <c:pt idx="92">
                  <c:v>1071.185907129813</c:v>
                </c:pt>
                <c:pt idx="93">
                  <c:v>1140.704813025992</c:v>
                </c:pt>
                <c:pt idx="94">
                  <c:v>1210.22371892217</c:v>
                </c:pt>
                <c:pt idx="95">
                  <c:v>1279.742624818349</c:v>
                </c:pt>
                <c:pt idx="96">
                  <c:v>1349.261530714527</c:v>
                </c:pt>
                <c:pt idx="97">
                  <c:v>1357.692530714527</c:v>
                </c:pt>
                <c:pt idx="98">
                  <c:v>1366.123530714527</c:v>
                </c:pt>
                <c:pt idx="99">
                  <c:v>1374.554530714527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109.8810810810811</c:v>
                </c:pt>
                <c:pt idx="22">
                  <c:v>219.7621621621622</c:v>
                </c:pt>
                <c:pt idx="23">
                  <c:v>329.6432432432432</c:v>
                </c:pt>
                <c:pt idx="24">
                  <c:v>439.5243243243243</c:v>
                </c:pt>
                <c:pt idx="25">
                  <c:v>549.4054054054054</c:v>
                </c:pt>
                <c:pt idx="26">
                  <c:v>659.2864864864864</c:v>
                </c:pt>
                <c:pt idx="27">
                  <c:v>769.1675675675675</c:v>
                </c:pt>
                <c:pt idx="28">
                  <c:v>879.0486486486486</c:v>
                </c:pt>
                <c:pt idx="29">
                  <c:v>988.9297297297297</c:v>
                </c:pt>
                <c:pt idx="30">
                  <c:v>1098.810810810811</c:v>
                </c:pt>
                <c:pt idx="31">
                  <c:v>1208.691891891892</c:v>
                </c:pt>
                <c:pt idx="32">
                  <c:v>1318.572972972973</c:v>
                </c:pt>
                <c:pt idx="33">
                  <c:v>1428.454054054054</c:v>
                </c:pt>
                <c:pt idx="34">
                  <c:v>1538.335135135135</c:v>
                </c:pt>
                <c:pt idx="35">
                  <c:v>1648.216216216216</c:v>
                </c:pt>
                <c:pt idx="36">
                  <c:v>1758.097297297297</c:v>
                </c:pt>
                <c:pt idx="37">
                  <c:v>1867.978378378378</c:v>
                </c:pt>
                <c:pt idx="38">
                  <c:v>1977.859459459459</c:v>
                </c:pt>
                <c:pt idx="39">
                  <c:v>2087.740540540541</c:v>
                </c:pt>
                <c:pt idx="40">
                  <c:v>2197.621621621622</c:v>
                </c:pt>
                <c:pt idx="41">
                  <c:v>2307.502702702703</c:v>
                </c:pt>
                <c:pt idx="42">
                  <c:v>2417.383783783784</c:v>
                </c:pt>
                <c:pt idx="43">
                  <c:v>2527.264864864865</c:v>
                </c:pt>
                <c:pt idx="44">
                  <c:v>2637.145945945946</c:v>
                </c:pt>
                <c:pt idx="45">
                  <c:v>2747.027027027027</c:v>
                </c:pt>
                <c:pt idx="46">
                  <c:v>2856.908108108108</c:v>
                </c:pt>
                <c:pt idx="47">
                  <c:v>2966.789189189189</c:v>
                </c:pt>
                <c:pt idx="48">
                  <c:v>3076.67027027027</c:v>
                </c:pt>
                <c:pt idx="49">
                  <c:v>3186.551351351351</c:v>
                </c:pt>
                <c:pt idx="50">
                  <c:v>3296.432432432432</c:v>
                </c:pt>
                <c:pt idx="51">
                  <c:v>3406.313513513513</c:v>
                </c:pt>
                <c:pt idx="52">
                  <c:v>3516.194594594594</c:v>
                </c:pt>
                <c:pt idx="53">
                  <c:v>3626.075675675675</c:v>
                </c:pt>
                <c:pt idx="54">
                  <c:v>3735.956756756756</c:v>
                </c:pt>
                <c:pt idx="55">
                  <c:v>3845.837837837838</c:v>
                </c:pt>
                <c:pt idx="56">
                  <c:v>3955.718918918919</c:v>
                </c:pt>
                <c:pt idx="57">
                  <c:v>4065.6</c:v>
                </c:pt>
                <c:pt idx="58">
                  <c:v>4365.846153846154</c:v>
                </c:pt>
                <c:pt idx="59">
                  <c:v>4666.092307692308</c:v>
                </c:pt>
                <c:pt idx="60">
                  <c:v>4966.338461538462</c:v>
                </c:pt>
                <c:pt idx="61">
                  <c:v>5266.584615384616</c:v>
                </c:pt>
                <c:pt idx="62">
                  <c:v>5566.83076923077</c:v>
                </c:pt>
                <c:pt idx="63">
                  <c:v>5867.076923076923</c:v>
                </c:pt>
                <c:pt idx="64">
                  <c:v>6167.323076923077</c:v>
                </c:pt>
                <c:pt idx="65">
                  <c:v>6467.56923076923</c:v>
                </c:pt>
                <c:pt idx="66">
                  <c:v>6767.815384615385</c:v>
                </c:pt>
                <c:pt idx="67">
                  <c:v>7068.06153846154</c:v>
                </c:pt>
                <c:pt idx="68">
                  <c:v>7368.307692307693</c:v>
                </c:pt>
                <c:pt idx="69">
                  <c:v>7668.553846153847</c:v>
                </c:pt>
                <c:pt idx="70">
                  <c:v>7968.800000000001</c:v>
                </c:pt>
                <c:pt idx="71">
                  <c:v>8269.046153846155</c:v>
                </c:pt>
                <c:pt idx="72">
                  <c:v>8569.292307692308</c:v>
                </c:pt>
                <c:pt idx="73">
                  <c:v>8869.53846153846</c:v>
                </c:pt>
                <c:pt idx="74">
                  <c:v>9169.784615384617</c:v>
                </c:pt>
                <c:pt idx="75">
                  <c:v>9470.03076923077</c:v>
                </c:pt>
                <c:pt idx="76">
                  <c:v>9770.276923076925</c:v>
                </c:pt>
                <c:pt idx="77">
                  <c:v>10070.52307692308</c:v>
                </c:pt>
                <c:pt idx="78">
                  <c:v>10370.76923076923</c:v>
                </c:pt>
                <c:pt idx="79">
                  <c:v>10671.01538461539</c:v>
                </c:pt>
                <c:pt idx="80">
                  <c:v>10971.26153846154</c:v>
                </c:pt>
                <c:pt idx="81">
                  <c:v>11271.50769230769</c:v>
                </c:pt>
                <c:pt idx="82">
                  <c:v>11571.75384615385</c:v>
                </c:pt>
                <c:pt idx="83">
                  <c:v>11872.0</c:v>
                </c:pt>
                <c:pt idx="84">
                  <c:v>12778.33846153846</c:v>
                </c:pt>
                <c:pt idx="85">
                  <c:v>13684.67692307693</c:v>
                </c:pt>
                <c:pt idx="86">
                  <c:v>14591.01538461539</c:v>
                </c:pt>
                <c:pt idx="87">
                  <c:v>15497.35384615385</c:v>
                </c:pt>
                <c:pt idx="88">
                  <c:v>16403.69230769231</c:v>
                </c:pt>
                <c:pt idx="89">
                  <c:v>17310.03076923077</c:v>
                </c:pt>
                <c:pt idx="90">
                  <c:v>18216.36923076923</c:v>
                </c:pt>
                <c:pt idx="91">
                  <c:v>19122.7076923077</c:v>
                </c:pt>
                <c:pt idx="92">
                  <c:v>20029.04615384616</c:v>
                </c:pt>
                <c:pt idx="93">
                  <c:v>20935.38461538462</c:v>
                </c:pt>
                <c:pt idx="94">
                  <c:v>21841.72307692308</c:v>
                </c:pt>
                <c:pt idx="95">
                  <c:v>22748.06153846154</c:v>
                </c:pt>
                <c:pt idx="96">
                  <c:v>23654.40000000001</c:v>
                </c:pt>
                <c:pt idx="97">
                  <c:v>23654.40000000001</c:v>
                </c:pt>
                <c:pt idx="98">
                  <c:v>23654.40000000001</c:v>
                </c:pt>
                <c:pt idx="99">
                  <c:v>23654.40000000001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52.18999999999988</c:v>
                </c:pt>
                <c:pt idx="98">
                  <c:v>104.3799999999998</c:v>
                </c:pt>
                <c:pt idx="99">
                  <c:v>156.5699999999997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9858.24</c:v>
                </c:pt>
                <c:pt idx="1">
                  <c:v>9858.24</c:v>
                </c:pt>
                <c:pt idx="2">
                  <c:v>9858.24</c:v>
                </c:pt>
                <c:pt idx="3">
                  <c:v>9858.24</c:v>
                </c:pt>
                <c:pt idx="4">
                  <c:v>9858.24</c:v>
                </c:pt>
                <c:pt idx="5">
                  <c:v>9858.24</c:v>
                </c:pt>
                <c:pt idx="6">
                  <c:v>9858.24</c:v>
                </c:pt>
                <c:pt idx="7">
                  <c:v>9858.24</c:v>
                </c:pt>
                <c:pt idx="8">
                  <c:v>9858.24</c:v>
                </c:pt>
                <c:pt idx="9">
                  <c:v>9858.24</c:v>
                </c:pt>
                <c:pt idx="10">
                  <c:v>9858.24</c:v>
                </c:pt>
                <c:pt idx="11">
                  <c:v>9858.24</c:v>
                </c:pt>
                <c:pt idx="12">
                  <c:v>9858.24</c:v>
                </c:pt>
                <c:pt idx="13">
                  <c:v>9858.24</c:v>
                </c:pt>
                <c:pt idx="14">
                  <c:v>9858.24</c:v>
                </c:pt>
                <c:pt idx="15">
                  <c:v>9858.24</c:v>
                </c:pt>
                <c:pt idx="16">
                  <c:v>9858.24</c:v>
                </c:pt>
                <c:pt idx="17">
                  <c:v>9858.24</c:v>
                </c:pt>
                <c:pt idx="18">
                  <c:v>9858.24</c:v>
                </c:pt>
                <c:pt idx="19">
                  <c:v>9858.24</c:v>
                </c:pt>
                <c:pt idx="20">
                  <c:v>9858.24</c:v>
                </c:pt>
                <c:pt idx="21">
                  <c:v>9982.741621621622</c:v>
                </c:pt>
                <c:pt idx="22">
                  <c:v>10107.24324324325</c:v>
                </c:pt>
                <c:pt idx="23">
                  <c:v>10231.74486486487</c:v>
                </c:pt>
                <c:pt idx="24">
                  <c:v>10356.24648648649</c:v>
                </c:pt>
                <c:pt idx="25">
                  <c:v>10480.74810810811</c:v>
                </c:pt>
                <c:pt idx="26">
                  <c:v>10605.24972972973</c:v>
                </c:pt>
                <c:pt idx="27">
                  <c:v>10729.75135135135</c:v>
                </c:pt>
                <c:pt idx="28">
                  <c:v>10854.25297297297</c:v>
                </c:pt>
                <c:pt idx="29">
                  <c:v>10978.7545945946</c:v>
                </c:pt>
                <c:pt idx="30">
                  <c:v>11103.25621621622</c:v>
                </c:pt>
                <c:pt idx="31">
                  <c:v>11227.75783783784</c:v>
                </c:pt>
                <c:pt idx="32">
                  <c:v>11352.25945945946</c:v>
                </c:pt>
                <c:pt idx="33">
                  <c:v>11476.76108108108</c:v>
                </c:pt>
                <c:pt idx="34">
                  <c:v>11601.2627027027</c:v>
                </c:pt>
                <c:pt idx="35">
                  <c:v>11725.76432432433</c:v>
                </c:pt>
                <c:pt idx="36">
                  <c:v>11850.26594594595</c:v>
                </c:pt>
                <c:pt idx="37">
                  <c:v>11974.76756756757</c:v>
                </c:pt>
                <c:pt idx="38">
                  <c:v>12099.26918918919</c:v>
                </c:pt>
                <c:pt idx="39">
                  <c:v>12223.77081081081</c:v>
                </c:pt>
                <c:pt idx="40">
                  <c:v>12348.27243243243</c:v>
                </c:pt>
                <c:pt idx="41">
                  <c:v>12472.77405405406</c:v>
                </c:pt>
                <c:pt idx="42">
                  <c:v>12597.27567567568</c:v>
                </c:pt>
                <c:pt idx="43">
                  <c:v>12721.7772972973</c:v>
                </c:pt>
                <c:pt idx="44">
                  <c:v>12846.27891891892</c:v>
                </c:pt>
                <c:pt idx="45">
                  <c:v>12970.78054054054</c:v>
                </c:pt>
                <c:pt idx="46">
                  <c:v>13095.28216216216</c:v>
                </c:pt>
                <c:pt idx="47">
                  <c:v>13219.78378378379</c:v>
                </c:pt>
                <c:pt idx="48">
                  <c:v>13344.28540540541</c:v>
                </c:pt>
                <c:pt idx="49">
                  <c:v>13468.78702702703</c:v>
                </c:pt>
                <c:pt idx="50">
                  <c:v>13593.28864864865</c:v>
                </c:pt>
                <c:pt idx="51">
                  <c:v>13717.79027027027</c:v>
                </c:pt>
                <c:pt idx="52">
                  <c:v>13842.29189189189</c:v>
                </c:pt>
                <c:pt idx="53">
                  <c:v>13966.79351351352</c:v>
                </c:pt>
                <c:pt idx="54">
                  <c:v>14091.29513513514</c:v>
                </c:pt>
                <c:pt idx="55">
                  <c:v>14215.79675675676</c:v>
                </c:pt>
                <c:pt idx="56">
                  <c:v>14340.29837837838</c:v>
                </c:pt>
                <c:pt idx="57">
                  <c:v>14464.8</c:v>
                </c:pt>
                <c:pt idx="58">
                  <c:v>13940.76923076923</c:v>
                </c:pt>
                <c:pt idx="59">
                  <c:v>13416.73846153846</c:v>
                </c:pt>
                <c:pt idx="60">
                  <c:v>12892.70769230769</c:v>
                </c:pt>
                <c:pt idx="61">
                  <c:v>12368.67692307693</c:v>
                </c:pt>
                <c:pt idx="62">
                  <c:v>11844.64615384616</c:v>
                </c:pt>
                <c:pt idx="63">
                  <c:v>11320.61538461539</c:v>
                </c:pt>
                <c:pt idx="64">
                  <c:v>10796.58461538462</c:v>
                </c:pt>
                <c:pt idx="65">
                  <c:v>10272.55384615385</c:v>
                </c:pt>
                <c:pt idx="66">
                  <c:v>9748.523076923078</c:v>
                </c:pt>
                <c:pt idx="67">
                  <c:v>9224.49230769231</c:v>
                </c:pt>
                <c:pt idx="68">
                  <c:v>8700.461538461539</c:v>
                </c:pt>
                <c:pt idx="69">
                  <c:v>8176.43076923077</c:v>
                </c:pt>
                <c:pt idx="70">
                  <c:v>7652.400000000001</c:v>
                </c:pt>
                <c:pt idx="71">
                  <c:v>7128.36923076923</c:v>
                </c:pt>
                <c:pt idx="72">
                  <c:v>6604.338461538463</c:v>
                </c:pt>
                <c:pt idx="73">
                  <c:v>6080.307692307693</c:v>
                </c:pt>
                <c:pt idx="74">
                  <c:v>5556.276923076924</c:v>
                </c:pt>
                <c:pt idx="75">
                  <c:v>5032.246153846154</c:v>
                </c:pt>
                <c:pt idx="76">
                  <c:v>4508.215384615385</c:v>
                </c:pt>
                <c:pt idx="77">
                  <c:v>3984.184615384616</c:v>
                </c:pt>
                <c:pt idx="78">
                  <c:v>3460.153846153846</c:v>
                </c:pt>
                <c:pt idx="79">
                  <c:v>2936.123076923077</c:v>
                </c:pt>
                <c:pt idx="80">
                  <c:v>2412.092307692308</c:v>
                </c:pt>
                <c:pt idx="81">
                  <c:v>1888.061538461538</c:v>
                </c:pt>
                <c:pt idx="82">
                  <c:v>1364.030769230769</c:v>
                </c:pt>
                <c:pt idx="83">
                  <c:v>840.0</c:v>
                </c:pt>
                <c:pt idx="84">
                  <c:v>775.3846153846154</c:v>
                </c:pt>
                <c:pt idx="85">
                  <c:v>710.7692307692307</c:v>
                </c:pt>
                <c:pt idx="86">
                  <c:v>646.1538461538461</c:v>
                </c:pt>
                <c:pt idx="87">
                  <c:v>581.5384615384615</c:v>
                </c:pt>
                <c:pt idx="88">
                  <c:v>516.923076923077</c:v>
                </c:pt>
                <c:pt idx="89">
                  <c:v>452.3076923076923</c:v>
                </c:pt>
                <c:pt idx="90">
                  <c:v>387.6923076923077</c:v>
                </c:pt>
                <c:pt idx="91">
                  <c:v>323.0769230769231</c:v>
                </c:pt>
                <c:pt idx="92">
                  <c:v>258.4615384615385</c:v>
                </c:pt>
                <c:pt idx="93">
                  <c:v>193.8461538461538</c:v>
                </c:pt>
                <c:pt idx="94">
                  <c:v>129.2307692307693</c:v>
                </c:pt>
                <c:pt idx="95">
                  <c:v>64.61538461538464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3437.538461538462</c:v>
                </c:pt>
                <c:pt idx="59">
                  <c:v>6875.076923076923</c:v>
                </c:pt>
                <c:pt idx="60">
                  <c:v>10312.61538461539</c:v>
                </c:pt>
                <c:pt idx="61">
                  <c:v>13750.15384615385</c:v>
                </c:pt>
                <c:pt idx="62">
                  <c:v>17187.69230769231</c:v>
                </c:pt>
                <c:pt idx="63">
                  <c:v>20625.23076923077</c:v>
                </c:pt>
                <c:pt idx="64">
                  <c:v>24062.76923076923</c:v>
                </c:pt>
                <c:pt idx="65">
                  <c:v>27500.3076923077</c:v>
                </c:pt>
                <c:pt idx="66">
                  <c:v>30937.84615384616</c:v>
                </c:pt>
                <c:pt idx="67">
                  <c:v>34375.38461538461</c:v>
                </c:pt>
                <c:pt idx="68">
                  <c:v>37812.92307692308</c:v>
                </c:pt>
                <c:pt idx="69">
                  <c:v>41250.46153846155</c:v>
                </c:pt>
                <c:pt idx="70">
                  <c:v>44688.00000000001</c:v>
                </c:pt>
                <c:pt idx="71">
                  <c:v>48125.53846153847</c:v>
                </c:pt>
                <c:pt idx="72">
                  <c:v>51563.07692307692</c:v>
                </c:pt>
                <c:pt idx="73">
                  <c:v>55000.61538461539</c:v>
                </c:pt>
                <c:pt idx="74">
                  <c:v>58438.15384615385</c:v>
                </c:pt>
                <c:pt idx="75">
                  <c:v>61875.69230769231</c:v>
                </c:pt>
                <c:pt idx="76">
                  <c:v>65313.23076923077</c:v>
                </c:pt>
                <c:pt idx="77">
                  <c:v>68750.76923076923</c:v>
                </c:pt>
                <c:pt idx="78">
                  <c:v>72188.3076923077</c:v>
                </c:pt>
                <c:pt idx="79">
                  <c:v>75625.84615384616</c:v>
                </c:pt>
                <c:pt idx="80">
                  <c:v>79063.38461538462</c:v>
                </c:pt>
                <c:pt idx="81">
                  <c:v>82500.92307692309</c:v>
                </c:pt>
                <c:pt idx="82">
                  <c:v>85938.46153846155</c:v>
                </c:pt>
                <c:pt idx="83">
                  <c:v>89376.00000000001</c:v>
                </c:pt>
                <c:pt idx="84">
                  <c:v>109794.4615384616</c:v>
                </c:pt>
                <c:pt idx="85">
                  <c:v>130212.9230769231</c:v>
                </c:pt>
                <c:pt idx="86">
                  <c:v>150631.3846153846</c:v>
                </c:pt>
                <c:pt idx="87">
                  <c:v>171049.8461538462</c:v>
                </c:pt>
                <c:pt idx="88">
                  <c:v>191468.3076923077</c:v>
                </c:pt>
                <c:pt idx="89">
                  <c:v>211886.7692307692</c:v>
                </c:pt>
                <c:pt idx="90">
                  <c:v>232305.2307692308</c:v>
                </c:pt>
                <c:pt idx="91">
                  <c:v>252723.6923076923</c:v>
                </c:pt>
                <c:pt idx="92">
                  <c:v>273142.1538461539</c:v>
                </c:pt>
                <c:pt idx="93">
                  <c:v>293560.6153846154</c:v>
                </c:pt>
                <c:pt idx="94">
                  <c:v>313979.0769230769</c:v>
                </c:pt>
                <c:pt idx="95">
                  <c:v>334397.5384615385</c:v>
                </c:pt>
                <c:pt idx="96">
                  <c:v>354816.0</c:v>
                </c:pt>
                <c:pt idx="97">
                  <c:v>357487.7</c:v>
                </c:pt>
                <c:pt idx="98">
                  <c:v>360159.4</c:v>
                </c:pt>
                <c:pt idx="99">
                  <c:v>362831.1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6773.76</c:v>
                </c:pt>
                <c:pt idx="1">
                  <c:v>6773.76</c:v>
                </c:pt>
                <c:pt idx="2">
                  <c:v>6773.76</c:v>
                </c:pt>
                <c:pt idx="3">
                  <c:v>6773.76</c:v>
                </c:pt>
                <c:pt idx="4">
                  <c:v>6773.76</c:v>
                </c:pt>
                <c:pt idx="5">
                  <c:v>6773.76</c:v>
                </c:pt>
                <c:pt idx="6">
                  <c:v>6773.76</c:v>
                </c:pt>
                <c:pt idx="7">
                  <c:v>6773.76</c:v>
                </c:pt>
                <c:pt idx="8">
                  <c:v>6773.76</c:v>
                </c:pt>
                <c:pt idx="9">
                  <c:v>6773.76</c:v>
                </c:pt>
                <c:pt idx="10">
                  <c:v>6773.76</c:v>
                </c:pt>
                <c:pt idx="11">
                  <c:v>6773.76</c:v>
                </c:pt>
                <c:pt idx="12">
                  <c:v>6773.76</c:v>
                </c:pt>
                <c:pt idx="13">
                  <c:v>6773.76</c:v>
                </c:pt>
                <c:pt idx="14">
                  <c:v>6773.76</c:v>
                </c:pt>
                <c:pt idx="15">
                  <c:v>6773.76</c:v>
                </c:pt>
                <c:pt idx="16">
                  <c:v>6773.76</c:v>
                </c:pt>
                <c:pt idx="17">
                  <c:v>6773.76</c:v>
                </c:pt>
                <c:pt idx="18">
                  <c:v>6773.76</c:v>
                </c:pt>
                <c:pt idx="19">
                  <c:v>6773.76</c:v>
                </c:pt>
                <c:pt idx="20">
                  <c:v>6773.76</c:v>
                </c:pt>
                <c:pt idx="21">
                  <c:v>6743.247567567567</c:v>
                </c:pt>
                <c:pt idx="22">
                  <c:v>6712.735135135135</c:v>
                </c:pt>
                <c:pt idx="23">
                  <c:v>6682.222702702703</c:v>
                </c:pt>
                <c:pt idx="24">
                  <c:v>6651.71027027027</c:v>
                </c:pt>
                <c:pt idx="25">
                  <c:v>6621.197837837838</c:v>
                </c:pt>
                <c:pt idx="26">
                  <c:v>6590.685405405405</c:v>
                </c:pt>
                <c:pt idx="27">
                  <c:v>6560.172972972973</c:v>
                </c:pt>
                <c:pt idx="28">
                  <c:v>6529.66054054054</c:v>
                </c:pt>
                <c:pt idx="29">
                  <c:v>6499.148108108108</c:v>
                </c:pt>
                <c:pt idx="30">
                  <c:v>6468.635675675675</c:v>
                </c:pt>
                <c:pt idx="31">
                  <c:v>6438.123243243243</c:v>
                </c:pt>
                <c:pt idx="32">
                  <c:v>6407.610810810811</c:v>
                </c:pt>
                <c:pt idx="33">
                  <c:v>6377.098378378379</c:v>
                </c:pt>
                <c:pt idx="34">
                  <c:v>6346.585945945946</c:v>
                </c:pt>
                <c:pt idx="35">
                  <c:v>6316.073513513514</c:v>
                </c:pt>
                <c:pt idx="36">
                  <c:v>6285.56108108108</c:v>
                </c:pt>
                <c:pt idx="37">
                  <c:v>6255.048648648649</c:v>
                </c:pt>
                <c:pt idx="38">
                  <c:v>6224.536216216216</c:v>
                </c:pt>
                <c:pt idx="39">
                  <c:v>6194.023783783784</c:v>
                </c:pt>
                <c:pt idx="40">
                  <c:v>6163.511351351351</c:v>
                </c:pt>
                <c:pt idx="41">
                  <c:v>6132.998918918919</c:v>
                </c:pt>
                <c:pt idx="42">
                  <c:v>6102.486486486486</c:v>
                </c:pt>
                <c:pt idx="43">
                  <c:v>6071.974054054054</c:v>
                </c:pt>
                <c:pt idx="44">
                  <c:v>6041.46162162162</c:v>
                </c:pt>
                <c:pt idx="45">
                  <c:v>6010.94918918919</c:v>
                </c:pt>
                <c:pt idx="46">
                  <c:v>5980.436756756757</c:v>
                </c:pt>
                <c:pt idx="47">
                  <c:v>5949.924324324325</c:v>
                </c:pt>
                <c:pt idx="48">
                  <c:v>5919.411891891892</c:v>
                </c:pt>
                <c:pt idx="49">
                  <c:v>5888.89945945946</c:v>
                </c:pt>
                <c:pt idx="50">
                  <c:v>5858.387027027027</c:v>
                </c:pt>
                <c:pt idx="51">
                  <c:v>5827.874594594595</c:v>
                </c:pt>
                <c:pt idx="52">
                  <c:v>5797.362162162162</c:v>
                </c:pt>
                <c:pt idx="53">
                  <c:v>5766.84972972973</c:v>
                </c:pt>
                <c:pt idx="54">
                  <c:v>5736.337297297297</c:v>
                </c:pt>
                <c:pt idx="55">
                  <c:v>5705.824864864865</c:v>
                </c:pt>
                <c:pt idx="56">
                  <c:v>5675.312432432432</c:v>
                </c:pt>
                <c:pt idx="57">
                  <c:v>5644.8</c:v>
                </c:pt>
                <c:pt idx="58">
                  <c:v>6742.400000000001</c:v>
                </c:pt>
                <c:pt idx="59">
                  <c:v>7840.0</c:v>
                </c:pt>
                <c:pt idx="60">
                  <c:v>8937.6</c:v>
                </c:pt>
                <c:pt idx="61">
                  <c:v>10035.2</c:v>
                </c:pt>
                <c:pt idx="62">
                  <c:v>11132.8</c:v>
                </c:pt>
                <c:pt idx="63">
                  <c:v>12230.4</c:v>
                </c:pt>
                <c:pt idx="64">
                  <c:v>13328.0</c:v>
                </c:pt>
                <c:pt idx="65">
                  <c:v>14425.6</c:v>
                </c:pt>
                <c:pt idx="66">
                  <c:v>15523.2</c:v>
                </c:pt>
                <c:pt idx="67">
                  <c:v>16620.8</c:v>
                </c:pt>
                <c:pt idx="68">
                  <c:v>17718.4</c:v>
                </c:pt>
                <c:pt idx="69">
                  <c:v>18816.0</c:v>
                </c:pt>
                <c:pt idx="70">
                  <c:v>19913.6</c:v>
                </c:pt>
                <c:pt idx="71">
                  <c:v>21011.2</c:v>
                </c:pt>
                <c:pt idx="72">
                  <c:v>22108.8</c:v>
                </c:pt>
                <c:pt idx="73">
                  <c:v>23206.4</c:v>
                </c:pt>
                <c:pt idx="74">
                  <c:v>24304.0</c:v>
                </c:pt>
                <c:pt idx="75">
                  <c:v>25401.6</c:v>
                </c:pt>
                <c:pt idx="76">
                  <c:v>26499.2</c:v>
                </c:pt>
                <c:pt idx="77">
                  <c:v>27596.8</c:v>
                </c:pt>
                <c:pt idx="78">
                  <c:v>28694.4</c:v>
                </c:pt>
                <c:pt idx="79">
                  <c:v>29792.0</c:v>
                </c:pt>
                <c:pt idx="80">
                  <c:v>30889.6</c:v>
                </c:pt>
                <c:pt idx="81">
                  <c:v>31987.2</c:v>
                </c:pt>
                <c:pt idx="82">
                  <c:v>33084.8</c:v>
                </c:pt>
                <c:pt idx="83">
                  <c:v>34182.4</c:v>
                </c:pt>
                <c:pt idx="84">
                  <c:v>31552.98461538461</c:v>
                </c:pt>
                <c:pt idx="85">
                  <c:v>28923.56923076923</c:v>
                </c:pt>
                <c:pt idx="86">
                  <c:v>26294.15384615385</c:v>
                </c:pt>
                <c:pt idx="87">
                  <c:v>23664.73846153846</c:v>
                </c:pt>
                <c:pt idx="88">
                  <c:v>21035.32307692308</c:v>
                </c:pt>
                <c:pt idx="89">
                  <c:v>18405.9076923077</c:v>
                </c:pt>
                <c:pt idx="90">
                  <c:v>15776.49230769231</c:v>
                </c:pt>
                <c:pt idx="91">
                  <c:v>13147.07692307692</c:v>
                </c:pt>
                <c:pt idx="92">
                  <c:v>10517.66153846154</c:v>
                </c:pt>
                <c:pt idx="93">
                  <c:v>7888.24615384615</c:v>
                </c:pt>
                <c:pt idx="94">
                  <c:v>5258.830769230768</c:v>
                </c:pt>
                <c:pt idx="95">
                  <c:v>2629.415384615382</c:v>
                </c:pt>
                <c:pt idx="96">
                  <c:v>0.0</c:v>
                </c:pt>
                <c:pt idx="97">
                  <c:v>829.53</c:v>
                </c:pt>
                <c:pt idx="98">
                  <c:v>1659.06</c:v>
                </c:pt>
                <c:pt idx="99">
                  <c:v>2488.59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108.972972972973</c:v>
                </c:pt>
                <c:pt idx="22">
                  <c:v>217.945945945946</c:v>
                </c:pt>
                <c:pt idx="23">
                  <c:v>326.918918918919</c:v>
                </c:pt>
                <c:pt idx="24">
                  <c:v>435.891891891892</c:v>
                </c:pt>
                <c:pt idx="25">
                  <c:v>544.8648648648649</c:v>
                </c:pt>
                <c:pt idx="26">
                  <c:v>653.837837837838</c:v>
                </c:pt>
                <c:pt idx="27">
                  <c:v>762.8108108108108</c:v>
                </c:pt>
                <c:pt idx="28">
                  <c:v>871.7837837837838</c:v>
                </c:pt>
                <c:pt idx="29">
                  <c:v>980.7567567567568</c:v>
                </c:pt>
                <c:pt idx="30">
                  <c:v>1089.72972972973</c:v>
                </c:pt>
                <c:pt idx="31">
                  <c:v>1198.702702702703</c:v>
                </c:pt>
                <c:pt idx="32">
                  <c:v>1307.675675675676</c:v>
                </c:pt>
                <c:pt idx="33">
                  <c:v>1416.648648648649</c:v>
                </c:pt>
                <c:pt idx="34">
                  <c:v>1525.621621621622</c:v>
                </c:pt>
                <c:pt idx="35">
                  <c:v>1634.594594594595</c:v>
                </c:pt>
                <c:pt idx="36">
                  <c:v>1743.567567567568</c:v>
                </c:pt>
                <c:pt idx="37">
                  <c:v>1852.540540540541</c:v>
                </c:pt>
                <c:pt idx="38">
                  <c:v>1961.513513513514</c:v>
                </c:pt>
                <c:pt idx="39">
                  <c:v>2070.486486486487</c:v>
                </c:pt>
                <c:pt idx="40">
                  <c:v>2179.45945945946</c:v>
                </c:pt>
                <c:pt idx="41">
                  <c:v>2288.432432432432</c:v>
                </c:pt>
                <c:pt idx="42">
                  <c:v>2397.405405405405</c:v>
                </c:pt>
                <c:pt idx="43">
                  <c:v>2506.378378378378</c:v>
                </c:pt>
                <c:pt idx="44">
                  <c:v>2615.351351351351</c:v>
                </c:pt>
                <c:pt idx="45">
                  <c:v>2724.324324324325</c:v>
                </c:pt>
                <c:pt idx="46">
                  <c:v>2833.297297297298</c:v>
                </c:pt>
                <c:pt idx="47">
                  <c:v>2942.27027027027</c:v>
                </c:pt>
                <c:pt idx="48">
                  <c:v>3051.243243243243</c:v>
                </c:pt>
                <c:pt idx="49">
                  <c:v>3160.216216216217</c:v>
                </c:pt>
                <c:pt idx="50">
                  <c:v>3269.18918918919</c:v>
                </c:pt>
                <c:pt idx="51">
                  <c:v>3378.162162162163</c:v>
                </c:pt>
                <c:pt idx="52">
                  <c:v>3487.135135135135</c:v>
                </c:pt>
                <c:pt idx="53">
                  <c:v>3596.108108108108</c:v>
                </c:pt>
                <c:pt idx="54">
                  <c:v>3705.081081081081</c:v>
                </c:pt>
                <c:pt idx="55">
                  <c:v>3814.054054054054</c:v>
                </c:pt>
                <c:pt idx="56">
                  <c:v>3923.027027027028</c:v>
                </c:pt>
                <c:pt idx="57">
                  <c:v>4032.0</c:v>
                </c:pt>
                <c:pt idx="58">
                  <c:v>4140.553846153846</c:v>
                </c:pt>
                <c:pt idx="59">
                  <c:v>4249.107692307693</c:v>
                </c:pt>
                <c:pt idx="60">
                  <c:v>4357.661538461538</c:v>
                </c:pt>
                <c:pt idx="61">
                  <c:v>4466.215384615385</c:v>
                </c:pt>
                <c:pt idx="62">
                  <c:v>4574.76923076923</c:v>
                </c:pt>
                <c:pt idx="63">
                  <c:v>4683.323076923077</c:v>
                </c:pt>
                <c:pt idx="64">
                  <c:v>4791.876923076923</c:v>
                </c:pt>
                <c:pt idx="65">
                  <c:v>4900.430769230769</c:v>
                </c:pt>
                <c:pt idx="66">
                  <c:v>5008.984615384616</c:v>
                </c:pt>
                <c:pt idx="67">
                  <c:v>5117.538461538462</c:v>
                </c:pt>
                <c:pt idx="68">
                  <c:v>5226.092307692308</c:v>
                </c:pt>
                <c:pt idx="69">
                  <c:v>5334.646153846154</c:v>
                </c:pt>
                <c:pt idx="70">
                  <c:v>5443.200000000001</c:v>
                </c:pt>
                <c:pt idx="71">
                  <c:v>5551.753846153846</c:v>
                </c:pt>
                <c:pt idx="72">
                  <c:v>5660.307692307693</c:v>
                </c:pt>
                <c:pt idx="73">
                  <c:v>5768.861538461538</c:v>
                </c:pt>
                <c:pt idx="74">
                  <c:v>5877.415384615385</c:v>
                </c:pt>
                <c:pt idx="75">
                  <c:v>5985.96923076923</c:v>
                </c:pt>
                <c:pt idx="76">
                  <c:v>6094.523076923077</c:v>
                </c:pt>
                <c:pt idx="77">
                  <c:v>6203.076923076923</c:v>
                </c:pt>
                <c:pt idx="78">
                  <c:v>6311.63076923077</c:v>
                </c:pt>
                <c:pt idx="79">
                  <c:v>6420.184615384616</c:v>
                </c:pt>
                <c:pt idx="80">
                  <c:v>6528.738461538462</c:v>
                </c:pt>
                <c:pt idx="81">
                  <c:v>6637.292307692308</c:v>
                </c:pt>
                <c:pt idx="82">
                  <c:v>6745.846153846154</c:v>
                </c:pt>
                <c:pt idx="83">
                  <c:v>6854.400000000001</c:v>
                </c:pt>
                <c:pt idx="84">
                  <c:v>11165.53846153846</c:v>
                </c:pt>
                <c:pt idx="85">
                  <c:v>15476.67692307692</c:v>
                </c:pt>
                <c:pt idx="86">
                  <c:v>19787.81538461539</c:v>
                </c:pt>
                <c:pt idx="87">
                  <c:v>24098.95384615385</c:v>
                </c:pt>
                <c:pt idx="88">
                  <c:v>28410.09230769231</c:v>
                </c:pt>
                <c:pt idx="89">
                  <c:v>32721.23076923077</c:v>
                </c:pt>
                <c:pt idx="90">
                  <c:v>37032.36923076923</c:v>
                </c:pt>
                <c:pt idx="91">
                  <c:v>41343.5076923077</c:v>
                </c:pt>
                <c:pt idx="92">
                  <c:v>45654.64615384615</c:v>
                </c:pt>
                <c:pt idx="93">
                  <c:v>49965.78461538462</c:v>
                </c:pt>
                <c:pt idx="94">
                  <c:v>54276.92307692309</c:v>
                </c:pt>
                <c:pt idx="95">
                  <c:v>58588.06153846154</c:v>
                </c:pt>
                <c:pt idx="96">
                  <c:v>62899.20000000001</c:v>
                </c:pt>
                <c:pt idx="97">
                  <c:v>69102.70000000001</c:v>
                </c:pt>
                <c:pt idx="98">
                  <c:v>75306.20000000001</c:v>
                </c:pt>
                <c:pt idx="99">
                  <c:v>81509.70000000001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0.533952516051964</c:v>
                </c:pt>
                <c:pt idx="22">
                  <c:v>1.067905032103927</c:v>
                </c:pt>
                <c:pt idx="23">
                  <c:v>1.601857548155891</c:v>
                </c:pt>
                <c:pt idx="24">
                  <c:v>2.135810064207855</c:v>
                </c:pt>
                <c:pt idx="25">
                  <c:v>2.669762580259818</c:v>
                </c:pt>
                <c:pt idx="26">
                  <c:v>3.203715096311782</c:v>
                </c:pt>
                <c:pt idx="27">
                  <c:v>3.737667612363746</c:v>
                </c:pt>
                <c:pt idx="28">
                  <c:v>4.27162012841571</c:v>
                </c:pt>
                <c:pt idx="29">
                  <c:v>4.805572644467674</c:v>
                </c:pt>
                <c:pt idx="30">
                  <c:v>5.339525160519636</c:v>
                </c:pt>
                <c:pt idx="31">
                  <c:v>5.873477676571601</c:v>
                </c:pt>
                <c:pt idx="32">
                  <c:v>6.407430192623564</c:v>
                </c:pt>
                <c:pt idx="33">
                  <c:v>6.941382708675527</c:v>
                </c:pt>
                <c:pt idx="34">
                  <c:v>7.475335224727492</c:v>
                </c:pt>
                <c:pt idx="35">
                  <c:v>8.009287740779456</c:v>
                </c:pt>
                <c:pt idx="36">
                  <c:v>8.54324025683142</c:v>
                </c:pt>
                <c:pt idx="37">
                  <c:v>9.077192772883382</c:v>
                </c:pt>
                <c:pt idx="38">
                  <c:v>9.611145288935347</c:v>
                </c:pt>
                <c:pt idx="39">
                  <c:v>10.14509780498731</c:v>
                </c:pt>
                <c:pt idx="40">
                  <c:v>10.67905032103927</c:v>
                </c:pt>
                <c:pt idx="41">
                  <c:v>11.21300283709124</c:v>
                </c:pt>
                <c:pt idx="42">
                  <c:v>11.7469553531432</c:v>
                </c:pt>
                <c:pt idx="43">
                  <c:v>12.28090786919516</c:v>
                </c:pt>
                <c:pt idx="44">
                  <c:v>12.81486038524713</c:v>
                </c:pt>
                <c:pt idx="45">
                  <c:v>13.34881290129909</c:v>
                </c:pt>
                <c:pt idx="46">
                  <c:v>13.88276541735106</c:v>
                </c:pt>
                <c:pt idx="47">
                  <c:v>14.41671793340302</c:v>
                </c:pt>
                <c:pt idx="48">
                  <c:v>14.95067044945498</c:v>
                </c:pt>
                <c:pt idx="49">
                  <c:v>15.48462296550695</c:v>
                </c:pt>
                <c:pt idx="50">
                  <c:v>16.01857548155891</c:v>
                </c:pt>
                <c:pt idx="51">
                  <c:v>16.55252799761087</c:v>
                </c:pt>
                <c:pt idx="52">
                  <c:v>17.08648051366284</c:v>
                </c:pt>
                <c:pt idx="53">
                  <c:v>17.6204330297148</c:v>
                </c:pt>
                <c:pt idx="54">
                  <c:v>18.15438554576676</c:v>
                </c:pt>
                <c:pt idx="55">
                  <c:v>18.68833806181873</c:v>
                </c:pt>
                <c:pt idx="56">
                  <c:v>19.22229057787069</c:v>
                </c:pt>
                <c:pt idx="57">
                  <c:v>19.75624309392266</c:v>
                </c:pt>
                <c:pt idx="58">
                  <c:v>19.75624309392266</c:v>
                </c:pt>
                <c:pt idx="59">
                  <c:v>19.75624309392266</c:v>
                </c:pt>
                <c:pt idx="60">
                  <c:v>19.75624309392266</c:v>
                </c:pt>
                <c:pt idx="61">
                  <c:v>19.75624309392266</c:v>
                </c:pt>
                <c:pt idx="62">
                  <c:v>19.75624309392266</c:v>
                </c:pt>
                <c:pt idx="63">
                  <c:v>19.75624309392266</c:v>
                </c:pt>
                <c:pt idx="64">
                  <c:v>19.75624309392266</c:v>
                </c:pt>
                <c:pt idx="65">
                  <c:v>19.75624309392266</c:v>
                </c:pt>
                <c:pt idx="66">
                  <c:v>19.75624309392266</c:v>
                </c:pt>
                <c:pt idx="67">
                  <c:v>19.75624309392266</c:v>
                </c:pt>
                <c:pt idx="68">
                  <c:v>19.75624309392266</c:v>
                </c:pt>
                <c:pt idx="69">
                  <c:v>19.75624309392266</c:v>
                </c:pt>
                <c:pt idx="70">
                  <c:v>19.75624309392266</c:v>
                </c:pt>
                <c:pt idx="71">
                  <c:v>19.75624309392266</c:v>
                </c:pt>
                <c:pt idx="72">
                  <c:v>19.75624309392266</c:v>
                </c:pt>
                <c:pt idx="73">
                  <c:v>19.75624309392266</c:v>
                </c:pt>
                <c:pt idx="74">
                  <c:v>19.75624309392266</c:v>
                </c:pt>
                <c:pt idx="75">
                  <c:v>19.75624309392266</c:v>
                </c:pt>
                <c:pt idx="76">
                  <c:v>19.75624309392266</c:v>
                </c:pt>
                <c:pt idx="77">
                  <c:v>19.75624309392266</c:v>
                </c:pt>
                <c:pt idx="78">
                  <c:v>19.75624309392266</c:v>
                </c:pt>
                <c:pt idx="79">
                  <c:v>19.75624309392266</c:v>
                </c:pt>
                <c:pt idx="80">
                  <c:v>19.75624309392266</c:v>
                </c:pt>
                <c:pt idx="81">
                  <c:v>19.75624309392266</c:v>
                </c:pt>
                <c:pt idx="82">
                  <c:v>19.75624309392266</c:v>
                </c:pt>
                <c:pt idx="83">
                  <c:v>19.75624309392266</c:v>
                </c:pt>
                <c:pt idx="84">
                  <c:v>20.06018529536762</c:v>
                </c:pt>
                <c:pt idx="85">
                  <c:v>20.36412749681258</c:v>
                </c:pt>
                <c:pt idx="86">
                  <c:v>20.66806969825755</c:v>
                </c:pt>
                <c:pt idx="87">
                  <c:v>20.97201189970251</c:v>
                </c:pt>
                <c:pt idx="88">
                  <c:v>21.27595410114748</c:v>
                </c:pt>
                <c:pt idx="89">
                  <c:v>21.57989630259244</c:v>
                </c:pt>
                <c:pt idx="90">
                  <c:v>21.8838385040374</c:v>
                </c:pt>
                <c:pt idx="91">
                  <c:v>22.18778070548237</c:v>
                </c:pt>
                <c:pt idx="92">
                  <c:v>22.49172290692733</c:v>
                </c:pt>
                <c:pt idx="93">
                  <c:v>22.7956651083723</c:v>
                </c:pt>
                <c:pt idx="94">
                  <c:v>23.09960730981726</c:v>
                </c:pt>
                <c:pt idx="95">
                  <c:v>23.40354951126222</c:v>
                </c:pt>
                <c:pt idx="96">
                  <c:v>23.70749171270719</c:v>
                </c:pt>
                <c:pt idx="97">
                  <c:v>38.43749171270719</c:v>
                </c:pt>
                <c:pt idx="98">
                  <c:v>53.1674917127072</c:v>
                </c:pt>
                <c:pt idx="99">
                  <c:v>67.89749171270719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22976.77558849172</c:v>
                </c:pt>
                <c:pt idx="1">
                  <c:v>22976.77558849172</c:v>
                </c:pt>
                <c:pt idx="2">
                  <c:v>22976.77558849172</c:v>
                </c:pt>
                <c:pt idx="3">
                  <c:v>22976.77558849172</c:v>
                </c:pt>
                <c:pt idx="4">
                  <c:v>22976.77558849172</c:v>
                </c:pt>
                <c:pt idx="5">
                  <c:v>22976.77558849172</c:v>
                </c:pt>
                <c:pt idx="6">
                  <c:v>22976.77558849172</c:v>
                </c:pt>
                <c:pt idx="7">
                  <c:v>22976.77558849172</c:v>
                </c:pt>
                <c:pt idx="8">
                  <c:v>22976.77558849172</c:v>
                </c:pt>
                <c:pt idx="9">
                  <c:v>22976.77558849172</c:v>
                </c:pt>
                <c:pt idx="10">
                  <c:v>22976.77558849172</c:v>
                </c:pt>
                <c:pt idx="11">
                  <c:v>22976.77558849172</c:v>
                </c:pt>
                <c:pt idx="12">
                  <c:v>22976.77558849172</c:v>
                </c:pt>
                <c:pt idx="13">
                  <c:v>22976.77558849172</c:v>
                </c:pt>
                <c:pt idx="14">
                  <c:v>22976.77558849172</c:v>
                </c:pt>
                <c:pt idx="15">
                  <c:v>22976.77558849172</c:v>
                </c:pt>
                <c:pt idx="16">
                  <c:v>22976.77558849172</c:v>
                </c:pt>
                <c:pt idx="17">
                  <c:v>22976.77558849172</c:v>
                </c:pt>
                <c:pt idx="18">
                  <c:v>22976.77558849172</c:v>
                </c:pt>
                <c:pt idx="19">
                  <c:v>22976.77558849172</c:v>
                </c:pt>
                <c:pt idx="20">
                  <c:v>22976.77558849172</c:v>
                </c:pt>
                <c:pt idx="21">
                  <c:v>22918.40490115224</c:v>
                </c:pt>
                <c:pt idx="22">
                  <c:v>22860.03421381277</c:v>
                </c:pt>
                <c:pt idx="23">
                  <c:v>22801.66352647329</c:v>
                </c:pt>
                <c:pt idx="24">
                  <c:v>22743.29283913382</c:v>
                </c:pt>
                <c:pt idx="25">
                  <c:v>22684.92215179434</c:v>
                </c:pt>
                <c:pt idx="26">
                  <c:v>22626.55146445487</c:v>
                </c:pt>
                <c:pt idx="27">
                  <c:v>22568.18077711539</c:v>
                </c:pt>
                <c:pt idx="28">
                  <c:v>22509.81008977592</c:v>
                </c:pt>
                <c:pt idx="29">
                  <c:v>22451.43940243644</c:v>
                </c:pt>
                <c:pt idx="30">
                  <c:v>22393.06871509696</c:v>
                </c:pt>
                <c:pt idx="31">
                  <c:v>22334.6980277575</c:v>
                </c:pt>
                <c:pt idx="32">
                  <c:v>22276.32734041801</c:v>
                </c:pt>
                <c:pt idx="33">
                  <c:v>22217.95665307854</c:v>
                </c:pt>
                <c:pt idx="34">
                  <c:v>22159.58596573906</c:v>
                </c:pt>
                <c:pt idx="35">
                  <c:v>22101.21527839959</c:v>
                </c:pt>
                <c:pt idx="36">
                  <c:v>22042.84459106011</c:v>
                </c:pt>
                <c:pt idx="37">
                  <c:v>21984.47390372064</c:v>
                </c:pt>
                <c:pt idx="38">
                  <c:v>21926.10321638116</c:v>
                </c:pt>
                <c:pt idx="39">
                  <c:v>21867.73252904168</c:v>
                </c:pt>
                <c:pt idx="40">
                  <c:v>21809.36184170221</c:v>
                </c:pt>
                <c:pt idx="41">
                  <c:v>21750.99115436273</c:v>
                </c:pt>
                <c:pt idx="42">
                  <c:v>21692.62046702326</c:v>
                </c:pt>
                <c:pt idx="43">
                  <c:v>21634.24977968378</c:v>
                </c:pt>
                <c:pt idx="44">
                  <c:v>21575.87909234431</c:v>
                </c:pt>
                <c:pt idx="45">
                  <c:v>21517.50840500483</c:v>
                </c:pt>
                <c:pt idx="46">
                  <c:v>21459.13771766536</c:v>
                </c:pt>
                <c:pt idx="47">
                  <c:v>21400.76703032588</c:v>
                </c:pt>
                <c:pt idx="48">
                  <c:v>21342.39634298641</c:v>
                </c:pt>
                <c:pt idx="49">
                  <c:v>21284.02565564693</c:v>
                </c:pt>
                <c:pt idx="50">
                  <c:v>21225.65496830746</c:v>
                </c:pt>
                <c:pt idx="51">
                  <c:v>21167.28428096798</c:v>
                </c:pt>
                <c:pt idx="52">
                  <c:v>21108.9135936285</c:v>
                </c:pt>
                <c:pt idx="53">
                  <c:v>21050.54290628903</c:v>
                </c:pt>
                <c:pt idx="54">
                  <c:v>20992.17221894955</c:v>
                </c:pt>
                <c:pt idx="55">
                  <c:v>20933.80153161008</c:v>
                </c:pt>
                <c:pt idx="56">
                  <c:v>20875.4308442706</c:v>
                </c:pt>
                <c:pt idx="57">
                  <c:v>20817.06015693113</c:v>
                </c:pt>
                <c:pt idx="58">
                  <c:v>20374.49828985313</c:v>
                </c:pt>
                <c:pt idx="59">
                  <c:v>19931.93642277513</c:v>
                </c:pt>
                <c:pt idx="60">
                  <c:v>19489.37455569714</c:v>
                </c:pt>
                <c:pt idx="61">
                  <c:v>19046.81268861914</c:v>
                </c:pt>
                <c:pt idx="62">
                  <c:v>18604.25082154114</c:v>
                </c:pt>
                <c:pt idx="63">
                  <c:v>18161.68895446315</c:v>
                </c:pt>
                <c:pt idx="64">
                  <c:v>17719.12708738515</c:v>
                </c:pt>
                <c:pt idx="65">
                  <c:v>17276.56522030716</c:v>
                </c:pt>
                <c:pt idx="66">
                  <c:v>16834.00335322916</c:v>
                </c:pt>
                <c:pt idx="67">
                  <c:v>16391.44148615117</c:v>
                </c:pt>
                <c:pt idx="68">
                  <c:v>15948.87961907317</c:v>
                </c:pt>
                <c:pt idx="69">
                  <c:v>15506.31775199517</c:v>
                </c:pt>
                <c:pt idx="70">
                  <c:v>15063.75588491718</c:v>
                </c:pt>
                <c:pt idx="71">
                  <c:v>14621.19401783918</c:v>
                </c:pt>
                <c:pt idx="72">
                  <c:v>14178.63215076118</c:v>
                </c:pt>
                <c:pt idx="73">
                  <c:v>13736.07028368319</c:v>
                </c:pt>
                <c:pt idx="74">
                  <c:v>13293.50841660519</c:v>
                </c:pt>
                <c:pt idx="75">
                  <c:v>12850.9465495272</c:v>
                </c:pt>
                <c:pt idx="76">
                  <c:v>12408.3846824492</c:v>
                </c:pt>
                <c:pt idx="77">
                  <c:v>11965.8228153712</c:v>
                </c:pt>
                <c:pt idx="78">
                  <c:v>11523.26094829321</c:v>
                </c:pt>
                <c:pt idx="79">
                  <c:v>11080.69908121521</c:v>
                </c:pt>
                <c:pt idx="80">
                  <c:v>10638.13721413722</c:v>
                </c:pt>
                <c:pt idx="81">
                  <c:v>10195.57534705922</c:v>
                </c:pt>
                <c:pt idx="82">
                  <c:v>9753.013479981222</c:v>
                </c:pt>
                <c:pt idx="83">
                  <c:v>9310.451612903227</c:v>
                </c:pt>
                <c:pt idx="84">
                  <c:v>9453.689330024816</c:v>
                </c:pt>
                <c:pt idx="85">
                  <c:v>9596.927047146404</c:v>
                </c:pt>
                <c:pt idx="86">
                  <c:v>9740.164764267991</c:v>
                </c:pt>
                <c:pt idx="87">
                  <c:v>9883.40248138958</c:v>
                </c:pt>
                <c:pt idx="88">
                  <c:v>10026.64019851117</c:v>
                </c:pt>
                <c:pt idx="89">
                  <c:v>10169.87791563276</c:v>
                </c:pt>
                <c:pt idx="90">
                  <c:v>10313.11563275434</c:v>
                </c:pt>
                <c:pt idx="91">
                  <c:v>10456.35334987593</c:v>
                </c:pt>
                <c:pt idx="92">
                  <c:v>10599.59106699752</c:v>
                </c:pt>
                <c:pt idx="93">
                  <c:v>10742.82878411911</c:v>
                </c:pt>
                <c:pt idx="94">
                  <c:v>10886.0665012407</c:v>
                </c:pt>
                <c:pt idx="95">
                  <c:v>11029.30421836228</c:v>
                </c:pt>
                <c:pt idx="96">
                  <c:v>11172.54193548387</c:v>
                </c:pt>
                <c:pt idx="97">
                  <c:v>10044.71193548387</c:v>
                </c:pt>
                <c:pt idx="98">
                  <c:v>8916.881935483872</c:v>
                </c:pt>
                <c:pt idx="99">
                  <c:v>7789.051935483872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296.33</c:v>
                </c:pt>
                <c:pt idx="98">
                  <c:v>592.66</c:v>
                </c:pt>
                <c:pt idx="99">
                  <c:v>888.99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006856"/>
        <c:axId val="188907480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21863.86968686116</c:v>
                </c:pt>
                <c:pt idx="1">
                  <c:v>21863.86968686116</c:v>
                </c:pt>
                <c:pt idx="2">
                  <c:v>21863.86968686116</c:v>
                </c:pt>
                <c:pt idx="3">
                  <c:v>21863.86968686116</c:v>
                </c:pt>
                <c:pt idx="4">
                  <c:v>21863.86968686116</c:v>
                </c:pt>
                <c:pt idx="5">
                  <c:v>21863.86968686116</c:v>
                </c:pt>
                <c:pt idx="6">
                  <c:v>21863.86968686116</c:v>
                </c:pt>
                <c:pt idx="7">
                  <c:v>21863.86968686116</c:v>
                </c:pt>
                <c:pt idx="8">
                  <c:v>21863.86968686116</c:v>
                </c:pt>
                <c:pt idx="9">
                  <c:v>21863.86968686116</c:v>
                </c:pt>
                <c:pt idx="10">
                  <c:v>21863.86968686116</c:v>
                </c:pt>
                <c:pt idx="11">
                  <c:v>21863.86968686116</c:v>
                </c:pt>
                <c:pt idx="12">
                  <c:v>21863.86968686116</c:v>
                </c:pt>
                <c:pt idx="13">
                  <c:v>21863.86968686116</c:v>
                </c:pt>
                <c:pt idx="14">
                  <c:v>21863.86968686116</c:v>
                </c:pt>
                <c:pt idx="15">
                  <c:v>21863.86968686116</c:v>
                </c:pt>
                <c:pt idx="16">
                  <c:v>21863.86968686116</c:v>
                </c:pt>
                <c:pt idx="17">
                  <c:v>21863.86968686116</c:v>
                </c:pt>
                <c:pt idx="18">
                  <c:v>21863.86968686116</c:v>
                </c:pt>
                <c:pt idx="19">
                  <c:v>21863.86968686116</c:v>
                </c:pt>
                <c:pt idx="20">
                  <c:v>21863.86968686116</c:v>
                </c:pt>
                <c:pt idx="21">
                  <c:v>21863.86968686116</c:v>
                </c:pt>
                <c:pt idx="22">
                  <c:v>21863.86968686116</c:v>
                </c:pt>
                <c:pt idx="23">
                  <c:v>21863.86968686116</c:v>
                </c:pt>
                <c:pt idx="24">
                  <c:v>21863.86968686116</c:v>
                </c:pt>
                <c:pt idx="25">
                  <c:v>21863.86968686116</c:v>
                </c:pt>
                <c:pt idx="26">
                  <c:v>21863.86968686116</c:v>
                </c:pt>
                <c:pt idx="27">
                  <c:v>21863.86968686116</c:v>
                </c:pt>
                <c:pt idx="28">
                  <c:v>21863.86968686116</c:v>
                </c:pt>
                <c:pt idx="29">
                  <c:v>21863.86968686116</c:v>
                </c:pt>
                <c:pt idx="30">
                  <c:v>21863.86968686116</c:v>
                </c:pt>
                <c:pt idx="31">
                  <c:v>21863.86968686116</c:v>
                </c:pt>
                <c:pt idx="32">
                  <c:v>21863.86968686116</c:v>
                </c:pt>
                <c:pt idx="33">
                  <c:v>21863.86968686116</c:v>
                </c:pt>
                <c:pt idx="34">
                  <c:v>21863.86968686116</c:v>
                </c:pt>
                <c:pt idx="35">
                  <c:v>21863.86968686116</c:v>
                </c:pt>
                <c:pt idx="36">
                  <c:v>21863.86968686116</c:v>
                </c:pt>
                <c:pt idx="37">
                  <c:v>21863.86968686116</c:v>
                </c:pt>
                <c:pt idx="38">
                  <c:v>21863.86968686116</c:v>
                </c:pt>
                <c:pt idx="39">
                  <c:v>21863.86968686116</c:v>
                </c:pt>
                <c:pt idx="40">
                  <c:v>21863.86968686116</c:v>
                </c:pt>
                <c:pt idx="41">
                  <c:v>21863.86968686116</c:v>
                </c:pt>
                <c:pt idx="42">
                  <c:v>21863.86968686116</c:v>
                </c:pt>
                <c:pt idx="43">
                  <c:v>21863.86968686116</c:v>
                </c:pt>
                <c:pt idx="44">
                  <c:v>21863.86968686116</c:v>
                </c:pt>
                <c:pt idx="45">
                  <c:v>21863.86968686116</c:v>
                </c:pt>
                <c:pt idx="46">
                  <c:v>21863.86968686116</c:v>
                </c:pt>
                <c:pt idx="47">
                  <c:v>21863.86968686116</c:v>
                </c:pt>
                <c:pt idx="48">
                  <c:v>21863.86968686116</c:v>
                </c:pt>
                <c:pt idx="49">
                  <c:v>21863.86968686116</c:v>
                </c:pt>
                <c:pt idx="50">
                  <c:v>21863.86968686116</c:v>
                </c:pt>
                <c:pt idx="51">
                  <c:v>21863.86968686116</c:v>
                </c:pt>
                <c:pt idx="52">
                  <c:v>21863.86968686116</c:v>
                </c:pt>
                <c:pt idx="53">
                  <c:v>21863.86968686116</c:v>
                </c:pt>
                <c:pt idx="54">
                  <c:v>21863.86968686116</c:v>
                </c:pt>
                <c:pt idx="55">
                  <c:v>21863.86968686116</c:v>
                </c:pt>
                <c:pt idx="56">
                  <c:v>21863.86968686116</c:v>
                </c:pt>
                <c:pt idx="57">
                  <c:v>21863.86968686116</c:v>
                </c:pt>
                <c:pt idx="58">
                  <c:v>21863.86968686116</c:v>
                </c:pt>
                <c:pt idx="59">
                  <c:v>21863.86968686116</c:v>
                </c:pt>
                <c:pt idx="60">
                  <c:v>21863.86968686116</c:v>
                </c:pt>
                <c:pt idx="61">
                  <c:v>21863.86968686116</c:v>
                </c:pt>
                <c:pt idx="62">
                  <c:v>21863.86968686116</c:v>
                </c:pt>
                <c:pt idx="63">
                  <c:v>21863.86968686116</c:v>
                </c:pt>
                <c:pt idx="64">
                  <c:v>21863.86968686116</c:v>
                </c:pt>
                <c:pt idx="65">
                  <c:v>21863.86968686116</c:v>
                </c:pt>
                <c:pt idx="66">
                  <c:v>21863.86968686116</c:v>
                </c:pt>
                <c:pt idx="67">
                  <c:v>21863.86968686116</c:v>
                </c:pt>
                <c:pt idx="68">
                  <c:v>21863.86968686116</c:v>
                </c:pt>
                <c:pt idx="69">
                  <c:v>21863.86968686116</c:v>
                </c:pt>
                <c:pt idx="70">
                  <c:v>21863.86968686116</c:v>
                </c:pt>
                <c:pt idx="71">
                  <c:v>21863.86968686116</c:v>
                </c:pt>
                <c:pt idx="72">
                  <c:v>21863.86968686116</c:v>
                </c:pt>
                <c:pt idx="73">
                  <c:v>21863.86968686116</c:v>
                </c:pt>
                <c:pt idx="74">
                  <c:v>21863.86968686116</c:v>
                </c:pt>
                <c:pt idx="75">
                  <c:v>21863.86968686116</c:v>
                </c:pt>
                <c:pt idx="76">
                  <c:v>21863.86968686116</c:v>
                </c:pt>
                <c:pt idx="77">
                  <c:v>21863.86968686116</c:v>
                </c:pt>
                <c:pt idx="78">
                  <c:v>21863.86968686116</c:v>
                </c:pt>
                <c:pt idx="79">
                  <c:v>21863.86968686116</c:v>
                </c:pt>
                <c:pt idx="80">
                  <c:v>21863.86968686116</c:v>
                </c:pt>
                <c:pt idx="81">
                  <c:v>21863.86968686116</c:v>
                </c:pt>
                <c:pt idx="82">
                  <c:v>21863.86968686116</c:v>
                </c:pt>
                <c:pt idx="83">
                  <c:v>21863.86968686116</c:v>
                </c:pt>
                <c:pt idx="84">
                  <c:v>21863.86968686116</c:v>
                </c:pt>
                <c:pt idx="85">
                  <c:v>21863.86968686116</c:v>
                </c:pt>
                <c:pt idx="86">
                  <c:v>21863.86968686116</c:v>
                </c:pt>
                <c:pt idx="87">
                  <c:v>21863.86968686116</c:v>
                </c:pt>
                <c:pt idx="88">
                  <c:v>21863.86968686116</c:v>
                </c:pt>
                <c:pt idx="89">
                  <c:v>21863.86968686116</c:v>
                </c:pt>
                <c:pt idx="90">
                  <c:v>21863.86968686116</c:v>
                </c:pt>
                <c:pt idx="91">
                  <c:v>21863.86968686116</c:v>
                </c:pt>
                <c:pt idx="92">
                  <c:v>21863.86968686116</c:v>
                </c:pt>
                <c:pt idx="93">
                  <c:v>21863.86968686116</c:v>
                </c:pt>
                <c:pt idx="94">
                  <c:v>21863.86968686116</c:v>
                </c:pt>
                <c:pt idx="95">
                  <c:v>21863.86968686116</c:v>
                </c:pt>
                <c:pt idx="96">
                  <c:v>21863.86968686116</c:v>
                </c:pt>
                <c:pt idx="97">
                  <c:v>21863.86968686116</c:v>
                </c:pt>
                <c:pt idx="98">
                  <c:v>21863.86968686116</c:v>
                </c:pt>
                <c:pt idx="99">
                  <c:v>21863.86968686116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39953.72828332268</c:v>
                </c:pt>
                <c:pt idx="1">
                  <c:v>39953.72828332268</c:v>
                </c:pt>
                <c:pt idx="2">
                  <c:v>39953.72828332268</c:v>
                </c:pt>
                <c:pt idx="3">
                  <c:v>39953.72828332268</c:v>
                </c:pt>
                <c:pt idx="4">
                  <c:v>39953.72828332268</c:v>
                </c:pt>
                <c:pt idx="5">
                  <c:v>39953.72828332268</c:v>
                </c:pt>
                <c:pt idx="6">
                  <c:v>39953.72828332268</c:v>
                </c:pt>
                <c:pt idx="7">
                  <c:v>39953.72828332268</c:v>
                </c:pt>
                <c:pt idx="8">
                  <c:v>39953.72828332268</c:v>
                </c:pt>
                <c:pt idx="9">
                  <c:v>39953.72828332268</c:v>
                </c:pt>
                <c:pt idx="10">
                  <c:v>39953.72828332268</c:v>
                </c:pt>
                <c:pt idx="11">
                  <c:v>39953.72828332268</c:v>
                </c:pt>
                <c:pt idx="12">
                  <c:v>39953.72828332268</c:v>
                </c:pt>
                <c:pt idx="13">
                  <c:v>39953.72828332268</c:v>
                </c:pt>
                <c:pt idx="14">
                  <c:v>39953.72828332268</c:v>
                </c:pt>
                <c:pt idx="15">
                  <c:v>39953.72828332268</c:v>
                </c:pt>
                <c:pt idx="16">
                  <c:v>39953.72828332268</c:v>
                </c:pt>
                <c:pt idx="17">
                  <c:v>39953.72828332268</c:v>
                </c:pt>
                <c:pt idx="18">
                  <c:v>39953.72828332268</c:v>
                </c:pt>
                <c:pt idx="19">
                  <c:v>39953.72828332268</c:v>
                </c:pt>
                <c:pt idx="20">
                  <c:v>39953.72828332268</c:v>
                </c:pt>
                <c:pt idx="21">
                  <c:v>40275.61474722521</c:v>
                </c:pt>
                <c:pt idx="22">
                  <c:v>40597.50121112776</c:v>
                </c:pt>
                <c:pt idx="23">
                  <c:v>40919.3876750303</c:v>
                </c:pt>
                <c:pt idx="24">
                  <c:v>41241.27413893283</c:v>
                </c:pt>
                <c:pt idx="25">
                  <c:v>41563.16060283537</c:v>
                </c:pt>
                <c:pt idx="26">
                  <c:v>41885.04706673791</c:v>
                </c:pt>
                <c:pt idx="27">
                  <c:v>42206.93353064045</c:v>
                </c:pt>
                <c:pt idx="28">
                  <c:v>42528.819994543</c:v>
                </c:pt>
                <c:pt idx="29">
                  <c:v>42850.70645844553</c:v>
                </c:pt>
                <c:pt idx="30">
                  <c:v>43172.59292234806</c:v>
                </c:pt>
                <c:pt idx="31">
                  <c:v>43494.47938625061</c:v>
                </c:pt>
                <c:pt idx="32">
                  <c:v>43816.36585015315</c:v>
                </c:pt>
                <c:pt idx="33">
                  <c:v>44138.25231405569</c:v>
                </c:pt>
                <c:pt idx="34">
                  <c:v>44460.13877795823</c:v>
                </c:pt>
                <c:pt idx="35">
                  <c:v>44782.02524186077</c:v>
                </c:pt>
                <c:pt idx="36">
                  <c:v>45103.91170576331</c:v>
                </c:pt>
                <c:pt idx="37">
                  <c:v>45425.79816966585</c:v>
                </c:pt>
                <c:pt idx="38">
                  <c:v>45747.68463356839</c:v>
                </c:pt>
                <c:pt idx="39">
                  <c:v>46069.57109747092</c:v>
                </c:pt>
                <c:pt idx="40">
                  <c:v>46391.45756137346</c:v>
                </c:pt>
                <c:pt idx="41">
                  <c:v>46713.344025276</c:v>
                </c:pt>
                <c:pt idx="42">
                  <c:v>47035.23048917855</c:v>
                </c:pt>
                <c:pt idx="43">
                  <c:v>47357.11695308109</c:v>
                </c:pt>
                <c:pt idx="44">
                  <c:v>47679.00341698363</c:v>
                </c:pt>
                <c:pt idx="45">
                  <c:v>48000.88988088616</c:v>
                </c:pt>
                <c:pt idx="46">
                  <c:v>48322.7763447887</c:v>
                </c:pt>
                <c:pt idx="47">
                  <c:v>48644.66280869125</c:v>
                </c:pt>
                <c:pt idx="48">
                  <c:v>48966.54927259378</c:v>
                </c:pt>
                <c:pt idx="49">
                  <c:v>49288.43573649632</c:v>
                </c:pt>
                <c:pt idx="50">
                  <c:v>49610.32220039886</c:v>
                </c:pt>
                <c:pt idx="51">
                  <c:v>49932.2086643014</c:v>
                </c:pt>
                <c:pt idx="52">
                  <c:v>50254.09512820394</c:v>
                </c:pt>
                <c:pt idx="53">
                  <c:v>50575.98159210648</c:v>
                </c:pt>
                <c:pt idx="54">
                  <c:v>50897.86805600901</c:v>
                </c:pt>
                <c:pt idx="55">
                  <c:v>51219.75451991155</c:v>
                </c:pt>
                <c:pt idx="56">
                  <c:v>51541.6409838141</c:v>
                </c:pt>
                <c:pt idx="57">
                  <c:v>51863.52744771664</c:v>
                </c:pt>
                <c:pt idx="58">
                  <c:v>55907.38875868195</c:v>
                </c:pt>
                <c:pt idx="59">
                  <c:v>59951.25006964726</c:v>
                </c:pt>
                <c:pt idx="60">
                  <c:v>63995.11138061256</c:v>
                </c:pt>
                <c:pt idx="61">
                  <c:v>68038.97269157786</c:v>
                </c:pt>
                <c:pt idx="62">
                  <c:v>72082.83400254318</c:v>
                </c:pt>
                <c:pt idx="63">
                  <c:v>76126.6953135085</c:v>
                </c:pt>
                <c:pt idx="64">
                  <c:v>80170.5566244738</c:v>
                </c:pt>
                <c:pt idx="65">
                  <c:v>84214.41793543909</c:v>
                </c:pt>
                <c:pt idx="66">
                  <c:v>88258.27924640441</c:v>
                </c:pt>
                <c:pt idx="67">
                  <c:v>92302.14055736973</c:v>
                </c:pt>
                <c:pt idx="68">
                  <c:v>96346.001868335</c:v>
                </c:pt>
                <c:pt idx="69">
                  <c:v>100389.8631793003</c:v>
                </c:pt>
                <c:pt idx="70">
                  <c:v>104433.7244902657</c:v>
                </c:pt>
                <c:pt idx="71">
                  <c:v>108477.585801231</c:v>
                </c:pt>
                <c:pt idx="72">
                  <c:v>112521.4471121963</c:v>
                </c:pt>
                <c:pt idx="73">
                  <c:v>116565.3084231616</c:v>
                </c:pt>
                <c:pt idx="74">
                  <c:v>120609.1697341269</c:v>
                </c:pt>
                <c:pt idx="75">
                  <c:v>124653.0310450922</c:v>
                </c:pt>
                <c:pt idx="76">
                  <c:v>128696.8923560575</c:v>
                </c:pt>
                <c:pt idx="77">
                  <c:v>132740.7536670228</c:v>
                </c:pt>
                <c:pt idx="78">
                  <c:v>136784.6149779881</c:v>
                </c:pt>
                <c:pt idx="79">
                  <c:v>140828.4762889534</c:v>
                </c:pt>
                <c:pt idx="80">
                  <c:v>144872.3375999187</c:v>
                </c:pt>
                <c:pt idx="81">
                  <c:v>148916.1989108841</c:v>
                </c:pt>
                <c:pt idx="82">
                  <c:v>152960.0602218493</c:v>
                </c:pt>
                <c:pt idx="83">
                  <c:v>157003.9215328146</c:v>
                </c:pt>
                <c:pt idx="84">
                  <c:v>180518.7304057417</c:v>
                </c:pt>
                <c:pt idx="85">
                  <c:v>204033.5392786689</c:v>
                </c:pt>
                <c:pt idx="86">
                  <c:v>227548.348151596</c:v>
                </c:pt>
                <c:pt idx="87">
                  <c:v>251063.1570245231</c:v>
                </c:pt>
                <c:pt idx="88">
                  <c:v>274577.9658974503</c:v>
                </c:pt>
                <c:pt idx="89">
                  <c:v>298092.7747703773</c:v>
                </c:pt>
                <c:pt idx="90">
                  <c:v>321607.5836433044</c:v>
                </c:pt>
                <c:pt idx="91">
                  <c:v>345122.3925162315</c:v>
                </c:pt>
                <c:pt idx="92">
                  <c:v>368637.2013891587</c:v>
                </c:pt>
                <c:pt idx="93">
                  <c:v>392152.0102620858</c:v>
                </c:pt>
                <c:pt idx="94">
                  <c:v>415666.8191350129</c:v>
                </c:pt>
                <c:pt idx="95">
                  <c:v>439181.62800794</c:v>
                </c:pt>
                <c:pt idx="96">
                  <c:v>462696.436880867</c:v>
                </c:pt>
                <c:pt idx="97">
                  <c:v>472476.2378808671</c:v>
                </c:pt>
                <c:pt idx="98">
                  <c:v>482256.0388808671</c:v>
                </c:pt>
                <c:pt idx="99">
                  <c:v>492035.8398808671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006856"/>
        <c:axId val="1889074808"/>
      </c:lineChart>
      <c:catAx>
        <c:axId val="1874006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890748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890748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7400685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0.0475591531755915</c:v>
                </c:pt>
                <c:pt idx="1">
                  <c:v>0.0475591531755915</c:v>
                </c:pt>
                <c:pt idx="2" formatCode="0.0%">
                  <c:v>0.0475591531755915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0.0300373599003736</c:v>
                </c:pt>
                <c:pt idx="1">
                  <c:v>0.0300373599003736</c:v>
                </c:pt>
                <c:pt idx="2" formatCode="0.0%">
                  <c:v>0.0300373599003736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0.098667496886675</c:v>
                </c:pt>
                <c:pt idx="1">
                  <c:v>0.098667496886675</c:v>
                </c:pt>
                <c:pt idx="2" formatCode="0.0%">
                  <c:v>0.098667496886675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0.113559780821918</c:v>
                </c:pt>
                <c:pt idx="1">
                  <c:v>0.113559780821918</c:v>
                </c:pt>
                <c:pt idx="2" formatCode="0.0%">
                  <c:v>0.105820094357822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0.0370190286425903</c:v>
                </c:pt>
                <c:pt idx="1">
                  <c:v>0.0370190286425903</c:v>
                </c:pt>
                <c:pt idx="2" formatCode="0.0%">
                  <c:v>0.0370190286425903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0.141819377334994</c:v>
                </c:pt>
                <c:pt idx="1">
                  <c:v>0.141819377334994</c:v>
                </c:pt>
                <c:pt idx="2" formatCode="0.0%">
                  <c:v>0.141819377334994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0.132564620174346</c:v>
                </c:pt>
                <c:pt idx="1">
                  <c:v>0.132564620174346</c:v>
                </c:pt>
                <c:pt idx="2" formatCode="0.0%">
                  <c:v>0.132564620174346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0.0901307596513076</c:v>
                </c:pt>
                <c:pt idx="1">
                  <c:v>0.0901307596513076</c:v>
                </c:pt>
                <c:pt idx="2" formatCode="0.0%">
                  <c:v>0.0901307596513076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Food aid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0.00309708493150685</c:v>
                </c:pt>
                <c:pt idx="1">
                  <c:v>0.00309708493150685</c:v>
                </c:pt>
                <c:pt idx="2" formatCode="0.0%">
                  <c:v>0.00312347022627081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0.232509190535492</c:v>
                </c:pt>
                <c:pt idx="1">
                  <c:v>0.232509190535492</c:v>
                </c:pt>
                <c:pt idx="2" formatCode="0.0%">
                  <c:v>0.230981833922664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0.538235820672478</c:v>
                </c:pt>
                <c:pt idx="1">
                  <c:v>0.512623470204029</c:v>
                </c:pt>
                <c:pt idx="2" formatCode="0.0%">
                  <c:v>0.547476478454638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5696168"/>
        <c:axId val="-2095693144"/>
      </c:barChart>
      <c:catAx>
        <c:axId val="-209569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5693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5693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5696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0.0378532602739726</c:v>
                </c:pt>
                <c:pt idx="1">
                  <c:v>0.0378532602739726</c:v>
                </c:pt>
                <c:pt idx="2" formatCode="0.0%">
                  <c:v>0.0378532602739726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0.00721046077210461</c:v>
                </c:pt>
                <c:pt idx="1">
                  <c:v>0.00721046077210461</c:v>
                </c:pt>
                <c:pt idx="2" formatCode="0.0%">
                  <c:v>0.00721046077210461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E46C0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0.024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Food aid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0.117543511830635</c:v>
                </c:pt>
                <c:pt idx="1">
                  <c:v>0.117543511830635</c:v>
                </c:pt>
                <c:pt idx="2" formatCode="0.0%">
                  <c:v>0.411789095988312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0.928687507845579</c:v>
                </c:pt>
                <c:pt idx="1">
                  <c:v>0.873068327488283</c:v>
                </c:pt>
                <c:pt idx="2" formatCode="0.0%">
                  <c:v>0.610441923687903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2005512"/>
        <c:axId val="-2141162920"/>
      </c:barChart>
      <c:catAx>
        <c:axId val="-2142005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1162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1162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2005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0.0141843088418431</c:v>
                </c:pt>
                <c:pt idx="1">
                  <c:v>0.0141843088418431</c:v>
                </c:pt>
                <c:pt idx="2">
                  <c:v>0.0275342465753425</c:v>
                </c:pt>
                <c:pt idx="3">
                  <c:v>0.0275342465753425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0.00165267347258956</c:v>
                </c:pt>
                <c:pt idx="1">
                  <c:v>0.00117521226965087</c:v>
                </c:pt>
                <c:pt idx="2">
                  <c:v>0.000934048670378916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0.436524310742684</c:v>
                </c:pt>
                <c:pt idx="1">
                  <c:v>0.310411423971042</c:v>
                </c:pt>
                <c:pt idx="2">
                  <c:v>0.246712347478054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0.0324496623491435</c:v>
                </c:pt>
                <c:pt idx="1">
                  <c:v>0.0230748795640724</c:v>
                </c:pt>
                <c:pt idx="2">
                  <c:v>0.0183397171154266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0.19737399003736</c:v>
                </c:pt>
                <c:pt idx="3">
                  <c:v>0.0972140547945205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0.0240348692403487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0.16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Poor!$A$20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(Poor!$AA$20,Poor!$AC$20,Poor!$AE$20,Poor!$AG$20)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Poor!$A$21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(Poor!$AA$21,Poor!$AC$21,Poor!$AE$21,Poor!$AG$21)</c:f>
              <c:numCache>
                <c:formatCode>0.0%</c:formatCode>
                <c:ptCount val="4"/>
                <c:pt idx="0">
                  <c:v>0.411789095988312</c:v>
                </c:pt>
                <c:pt idx="1">
                  <c:v>0.411789095988312</c:v>
                </c:pt>
                <c:pt idx="2">
                  <c:v>0.411789095988312</c:v>
                </c:pt>
                <c:pt idx="3">
                  <c:v>0.411789095988312</c:v>
                </c:pt>
              </c:numCache>
            </c:numRef>
          </c:val>
        </c:ser>
        <c:ser>
          <c:idx val="13"/>
          <c:order val="14"/>
          <c:tx>
            <c:strRef>
              <c:f>Poor!$A$22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(Poor!$AA$22,Poor!$AC$22,Poor!$AE$22,Poor!$AG$22)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0.0179514747700469</c:v>
                </c:pt>
                <c:pt idx="3">
                  <c:v>0.384097523276746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738552"/>
        <c:axId val="1796986280"/>
      </c:barChart>
      <c:catAx>
        <c:axId val="-21417385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9862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96986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1738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0.15141304109589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</c:dPt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0.0288418430884184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0.096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(V.Poor!$AA$16,V.Poor!$AC$16,V.Poor!$AE$16,V.Poor!$AG$16)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(V.Poor!$AA$17,V.Poor!$AC$17,V.Poor!$AE$17,V.Poor!$AG$17)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V.Poor!$A$20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(V.Poor!$AA$20,V.Poor!$AC$20,V.Poor!$AE$20,V.Poor!$AG$20)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V.Poor!$A$21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(V.Poor!$AA$21,V.Poor!$AC$21,V.Poor!$AE$21,V.Poor!$AG$21)</c:f>
              <c:numCache>
                <c:formatCode>0.0%</c:formatCode>
                <c:ptCount val="4"/>
                <c:pt idx="0">
                  <c:v>0.411789095988312</c:v>
                </c:pt>
                <c:pt idx="1">
                  <c:v>0.411789095988312</c:v>
                </c:pt>
                <c:pt idx="2">
                  <c:v>0.411789095988312</c:v>
                </c:pt>
                <c:pt idx="3">
                  <c:v>0.411789095988312</c:v>
                </c:pt>
              </c:numCache>
            </c:numRef>
          </c:val>
        </c:ser>
        <c:ser>
          <c:idx val="13"/>
          <c:order val="14"/>
          <c:tx>
            <c:strRef>
              <c:f>V.Poor!$A$22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(V.Poor!$AA$22,V.Poor!$AC$22,V.Poor!$AE$22,V.Poor!$AG$22)</c:f>
              <c:numCache>
                <c:formatCode>0.0%;[Red]"Adjust!"</c:formatCode>
                <c:ptCount val="4"/>
                <c:pt idx="0">
                  <c:v>0.312717924589284</c:v>
                </c:pt>
                <c:pt idx="1">
                  <c:v>0.396972808773593</c:v>
                </c:pt>
                <c:pt idx="2">
                  <c:v>0.492972808773593</c:v>
                </c:pt>
                <c:pt idx="3">
                  <c:v>0.492972808773593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0268648"/>
        <c:axId val="1870271704"/>
      </c:barChart>
      <c:catAx>
        <c:axId val="18702686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2717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70271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268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0.0255317559153176</c:v>
                </c:pt>
                <c:pt idx="1">
                  <c:v>0.0255317559153176</c:v>
                </c:pt>
                <c:pt idx="2">
                  <c:v>0.0495616438356164</c:v>
                </c:pt>
                <c:pt idx="3">
                  <c:v>0.0495616438356164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0.075093399750934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0.00288937740006452</c:v>
                </c:pt>
                <c:pt idx="1">
                  <c:v>0.0034378235908849</c:v>
                </c:pt>
                <c:pt idx="2">
                  <c:v>0.00119666783428927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0.423987590396104</c:v>
                </c:pt>
                <c:pt idx="1">
                  <c:v>0.504466651007106</c:v>
                </c:pt>
                <c:pt idx="2">
                  <c:v>0.175599183254324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0.0473878298593048</c:v>
                </c:pt>
                <c:pt idx="1">
                  <c:v>0.0563827347052413</c:v>
                </c:pt>
                <c:pt idx="2">
                  <c:v>0.0196261975774215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0.158849345162177</c:v>
                </c:pt>
                <c:pt idx="1">
                  <c:v>0.189001279716161</c:v>
                </c:pt>
                <c:pt idx="2">
                  <c:v>0.0657892256820607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0.256586187048568</c:v>
                </c:pt>
                <c:pt idx="3">
                  <c:v>0.126378271232877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0.120174346201743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Middle!$A$20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(Middle!$AA$20,Middle!$AC$20,Middle!$AE$20,Middle!$AG$20)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0.00532294765543148</c:v>
                </c:pt>
                <c:pt idx="3">
                  <c:v>0.00532294765543148</c:v>
                </c:pt>
              </c:numCache>
            </c:numRef>
          </c:val>
        </c:ser>
        <c:ser>
          <c:idx val="11"/>
          <c:order val="13"/>
          <c:tx>
            <c:strRef>
              <c:f>Middle!$A$21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(Middle!$AA$21,Middle!$AC$21,Middle!$AE$21,Middle!$AG$21)</c:f>
              <c:numCache>
                <c:formatCode>0.0%</c:formatCode>
                <c:ptCount val="4"/>
                <c:pt idx="0">
                  <c:v>0.132512959090213</c:v>
                </c:pt>
                <c:pt idx="1">
                  <c:v>0.132512959090213</c:v>
                </c:pt>
                <c:pt idx="2">
                  <c:v>0.132512959090213</c:v>
                </c:pt>
                <c:pt idx="3">
                  <c:v>0.132512959090213</c:v>
                </c:pt>
              </c:numCache>
            </c:numRef>
          </c:val>
        </c:ser>
        <c:ser>
          <c:idx val="13"/>
          <c:order val="14"/>
          <c:tx>
            <c:strRef>
              <c:f>Middle!$A$22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(Middle!$AA$22,Middle!$AC$22,Middle!$AE$22,Middle!$AG$22)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-2.22044604925031E-16</c:v>
                </c:pt>
                <c:pt idx="2">
                  <c:v>0.205138192047</c:v>
                </c:pt>
                <c:pt idx="3">
                  <c:v>0.522463982459852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279096"/>
        <c:axId val="-2140286472"/>
      </c:barChart>
      <c:catAx>
        <c:axId val="-21402790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2864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0286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279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0.0323402241594022</c:v>
                </c:pt>
                <c:pt idx="1">
                  <c:v>0.0323402241594022</c:v>
                </c:pt>
                <c:pt idx="2">
                  <c:v>0.0627780821917808</c:v>
                </c:pt>
                <c:pt idx="3">
                  <c:v>0.0627780821917808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0.120149439601494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0.0968216688157767</c:v>
                </c:pt>
                <c:pt idx="1">
                  <c:v>0.189619720727052</c:v>
                </c:pt>
                <c:pt idx="2">
                  <c:v>0.0887303651756394</c:v>
                </c:pt>
                <c:pt idx="3">
                  <c:v>0.0194982328282315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0.103840458643996</c:v>
                </c:pt>
                <c:pt idx="1">
                  <c:v>0.203365620620609</c:v>
                </c:pt>
                <c:pt idx="2">
                  <c:v>0.0951626007708954</c:v>
                </c:pt>
                <c:pt idx="3">
                  <c:v>0.0209116973957905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0.0363264929608109</c:v>
                </c:pt>
                <c:pt idx="1">
                  <c:v>0.0711433662988029</c:v>
                </c:pt>
                <c:pt idx="2">
                  <c:v>0.0332907191684123</c:v>
                </c:pt>
                <c:pt idx="3">
                  <c:v>0.00731553614233499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0.139166282892121</c:v>
                </c:pt>
                <c:pt idx="1">
                  <c:v>0.27254923427147</c:v>
                </c:pt>
                <c:pt idx="2">
                  <c:v>0.127536276250819</c:v>
                </c:pt>
                <c:pt idx="3">
                  <c:v>0.028025715925565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0.355273182067248</c:v>
                </c:pt>
                <c:pt idx="3">
                  <c:v>0.174985298630137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0.36052303860523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Rich!$A$20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(Rich!$AA$20,Rich!$AC$20,Rich!$AE$20,Rich!$AG$20)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0.00624694045254162</c:v>
                </c:pt>
                <c:pt idx="3">
                  <c:v>0.00624694045254162</c:v>
                </c:pt>
              </c:numCache>
            </c:numRef>
          </c:val>
        </c:ser>
        <c:ser>
          <c:idx val="11"/>
          <c:order val="13"/>
          <c:tx>
            <c:strRef>
              <c:f>Rich!$A$21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(Rich!$AA$21,Rich!$AC$21,Rich!$AE$21,Rich!$AG$21)</c:f>
              <c:numCache>
                <c:formatCode>0.0%</c:formatCode>
                <c:ptCount val="4"/>
                <c:pt idx="0">
                  <c:v>0.230981833922664</c:v>
                </c:pt>
                <c:pt idx="1">
                  <c:v>0.230981833922664</c:v>
                </c:pt>
                <c:pt idx="2">
                  <c:v>0.230981833922664</c:v>
                </c:pt>
                <c:pt idx="3">
                  <c:v>0.230981833922664</c:v>
                </c:pt>
              </c:numCache>
            </c:numRef>
          </c:val>
        </c:ser>
        <c:ser>
          <c:idx val="13"/>
          <c:order val="14"/>
          <c:tx>
            <c:strRef>
              <c:f>Rich!$A$22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(Rich!$AA$22,Rich!$AC$22,Rich!$AE$22,Rich!$AG$22)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0.32910722290946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611000"/>
        <c:axId val="-2140618472"/>
      </c:barChart>
      <c:catAx>
        <c:axId val="-21406110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6184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0618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611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Poor!$A$29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Poor!$K$29:$M$29</c:f>
              <c:numCache>
                <c:formatCode>0%</c:formatCode>
                <c:ptCount val="3"/>
                <c:pt idx="0">
                  <c:v>0.0685374952981306</c:v>
                </c:pt>
                <c:pt idx="1">
                  <c:v>0.076076619780925</c:v>
                </c:pt>
                <c:pt idx="2">
                  <c:v>0.076076619780925</c:v>
                </c:pt>
              </c:numCache>
            </c:numRef>
          </c:val>
        </c:ser>
        <c:ser>
          <c:idx val="1"/>
          <c:order val="1"/>
          <c:tx>
            <c:strRef>
              <c:f>Poor!$A$30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Poor!$K$30:$M$30</c:f>
              <c:numCache>
                <c:formatCode>0%</c:formatCode>
                <c:ptCount val="3"/>
                <c:pt idx="0">
                  <c:v>0.0143928740126074</c:v>
                </c:pt>
                <c:pt idx="1">
                  <c:v>0.0156882326737421</c:v>
                </c:pt>
                <c:pt idx="2">
                  <c:v>0.0156882326737421</c:v>
                </c:pt>
              </c:numCache>
            </c:numRef>
          </c:val>
        </c:ser>
        <c:ser>
          <c:idx val="2"/>
          <c:order val="2"/>
          <c:tx>
            <c:strRef>
              <c:f>Poor!$A$31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Poor!$K$31:$M$31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Poor!$A$32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Poor!$K$32:$M$32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Poor!$A$33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Poor!$K$33:$M$33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0.0137074990596261</c:v>
                </c:pt>
              </c:numCache>
            </c:numRef>
          </c:val>
        </c:ser>
        <c:ser>
          <c:idx val="5"/>
          <c:order val="5"/>
          <c:tx>
            <c:strRef>
              <c:f>Poor!$A$34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Poor!$K$34:$M$34</c:f>
              <c:numCache>
                <c:formatCode>0%</c:formatCode>
                <c:ptCount val="3"/>
                <c:pt idx="0">
                  <c:v>0.166203426097967</c:v>
                </c:pt>
                <c:pt idx="1">
                  <c:v>0.160502648582807</c:v>
                </c:pt>
                <c:pt idx="2">
                  <c:v>0.160502648582807</c:v>
                </c:pt>
              </c:numCache>
            </c:numRef>
          </c:val>
        </c:ser>
        <c:ser>
          <c:idx val="6"/>
          <c:order val="6"/>
          <c:tx>
            <c:strRef>
              <c:f>Poor!$A$35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Poor!$K$35:$M$35</c:f>
              <c:numCache>
                <c:formatCode>0%</c:formatCode>
                <c:ptCount val="3"/>
                <c:pt idx="0">
                  <c:v>0.128850491160486</c:v>
                </c:pt>
                <c:pt idx="1">
                  <c:v>0.141735540276534</c:v>
                </c:pt>
                <c:pt idx="2">
                  <c:v>0.141735540276534</c:v>
                </c:pt>
              </c:numCache>
            </c:numRef>
          </c:val>
        </c:ser>
        <c:ser>
          <c:idx val="7"/>
          <c:order val="7"/>
          <c:tx>
            <c:strRef>
              <c:f>Poor!$A$36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Poor!$K$36:$M$36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Poor!$A$37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0.115142992100859</c:v>
                </c:pt>
                <c:pt idx="1">
                  <c:v>0.126657291310945</c:v>
                </c:pt>
                <c:pt idx="2">
                  <c:v>0.151988749573135</c:v>
                </c:pt>
              </c:numCache>
            </c:numRef>
          </c:val>
        </c:ser>
        <c:ser>
          <c:idx val="9"/>
          <c:order val="9"/>
          <c:tx>
            <c:strRef>
              <c:f>Poor!$A$38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0.0822449943577568</c:v>
                </c:pt>
                <c:pt idx="1">
                  <c:v>0.0863572440756446</c:v>
                </c:pt>
                <c:pt idx="2">
                  <c:v>0.0863572440756446</c:v>
                </c:pt>
              </c:numCache>
            </c:numRef>
          </c:val>
        </c:ser>
        <c:ser>
          <c:idx val="10"/>
          <c:order val="10"/>
          <c:tx>
            <c:strRef>
              <c:f>Poor!$A$39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0.424627726972193</c:v>
                </c:pt>
                <c:pt idx="1">
                  <c:v>0.471336776939135</c:v>
                </c:pt>
                <c:pt idx="2">
                  <c:v>0.471336776939135</c:v>
                </c:pt>
              </c:numCache>
            </c:numRef>
          </c:val>
        </c:ser>
        <c:ser>
          <c:idx val="11"/>
          <c:order val="11"/>
          <c:tx>
            <c:strRef>
              <c:f>Poor!$A$40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Poor!$A$41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Poor!$A$42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Poor!$A$43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Poor!$A$44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Poor!$A$45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Poor!$A$46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Poor!$A$47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Poor!$A$48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Poor!$A$49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6081832"/>
        <c:axId val="1871837544"/>
      </c:barChart>
      <c:catAx>
        <c:axId val="1886081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837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1837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6081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406400</xdr:colOff>
      <xdr:row>55</xdr:row>
      <xdr:rowOff>165100</xdr:rowOff>
    </xdr:from>
    <xdr:to>
      <xdr:col>19</xdr:col>
      <xdr:colOff>12700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376767</xdr:colOff>
      <xdr:row>80</xdr:row>
      <xdr:rowOff>156633</xdr:rowOff>
    </xdr:from>
    <xdr:to>
      <xdr:col>17</xdr:col>
      <xdr:colOff>414867</xdr:colOff>
      <xdr:row>103</xdr:row>
      <xdr:rowOff>143934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o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ompatibility Report"/>
      <sheetName val="zano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ZANOC</v>
          </cell>
        </row>
        <row r="9">
          <cell r="CK9">
            <v>0.4</v>
          </cell>
        </row>
        <row r="10">
          <cell r="CK10">
            <v>0.34</v>
          </cell>
        </row>
        <row r="11">
          <cell r="CK11">
            <v>0.18</v>
          </cell>
        </row>
        <row r="12">
          <cell r="CK12">
            <v>0.08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15">
          <cell r="H815"/>
          <cell r="I815"/>
          <cell r="J815"/>
          <cell r="K815"/>
        </row>
        <row r="1031">
          <cell r="C1031">
            <v>12690.969968712534</v>
          </cell>
          <cell r="E1031">
            <v>15229.163962455043</v>
          </cell>
          <cell r="H1031">
            <v>15229.163962455043</v>
          </cell>
          <cell r="J1031">
            <v>12690.969968712534</v>
          </cell>
        </row>
        <row r="1032">
          <cell r="C1032">
            <v>9736.6666666666679</v>
          </cell>
          <cell r="E1032">
            <v>11684</v>
          </cell>
          <cell r="H1032">
            <v>11684</v>
          </cell>
          <cell r="J1032">
            <v>9736.6666666666679</v>
          </cell>
        </row>
        <row r="1033">
          <cell r="C1033">
            <v>17340</v>
          </cell>
          <cell r="E1033">
            <v>20808</v>
          </cell>
          <cell r="H1033">
            <v>20808</v>
          </cell>
          <cell r="J1033">
            <v>17340</v>
          </cell>
        </row>
        <row r="1034">
          <cell r="C1034">
            <v>370</v>
          </cell>
          <cell r="E1034">
            <v>2550</v>
          </cell>
          <cell r="H1034">
            <v>23260</v>
          </cell>
          <cell r="J1034">
            <v>50280</v>
          </cell>
        </row>
        <row r="1037">
          <cell r="C1037" t="str">
            <v>maize</v>
          </cell>
          <cell r="E1037" t="str">
            <v>maize</v>
          </cell>
          <cell r="H1037" t="str">
            <v>maize</v>
          </cell>
          <cell r="J1037" t="str">
            <v>maize</v>
          </cell>
        </row>
        <row r="1038">
          <cell r="C1038">
            <v>0.58061985920496251</v>
          </cell>
          <cell r="E1038">
            <v>0.58061985920496251</v>
          </cell>
          <cell r="H1038">
            <v>0.58061985920496251</v>
          </cell>
          <cell r="J1038">
            <v>0.58061985920496251</v>
          </cell>
        </row>
        <row r="1039">
          <cell r="C1039">
            <v>5</v>
          </cell>
          <cell r="E1039">
            <v>6</v>
          </cell>
          <cell r="H1039">
            <v>6</v>
          </cell>
          <cell r="J1039">
            <v>5</v>
          </cell>
        </row>
        <row r="1040">
          <cell r="C1040">
            <v>5.375</v>
          </cell>
          <cell r="E1040">
            <v>5.375</v>
          </cell>
          <cell r="H1040">
            <v>5.375</v>
          </cell>
          <cell r="J1040">
            <v>5.375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2.0859277708592777E-2</v>
          </cell>
          <cell r="F1044">
            <v>0</v>
          </cell>
          <cell r="H1044">
            <v>3.7546699875467E-2</v>
          </cell>
          <cell r="I1044">
            <v>0</v>
          </cell>
          <cell r="J1044">
            <v>4.7559153175591534E-2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H1045">
            <v>1.87733499377335E-2</v>
          </cell>
          <cell r="I1045">
            <v>0</v>
          </cell>
          <cell r="J1045">
            <v>3.0037359900373602E-2</v>
          </cell>
          <cell r="K1045">
            <v>0</v>
          </cell>
        </row>
        <row r="1046">
          <cell r="A1046" t="str">
            <v>Own meat</v>
          </cell>
          <cell r="C1046">
            <v>0</v>
          </cell>
          <cell r="D1046">
            <v>0</v>
          </cell>
          <cell r="E1046">
            <v>9.4048360315483607E-4</v>
          </cell>
          <cell r="F1046">
            <v>0</v>
          </cell>
          <cell r="H1046">
            <v>1.8809672063096721E-3</v>
          </cell>
          <cell r="I1046">
            <v>0</v>
          </cell>
          <cell r="J1046">
            <v>9.8667496886674977E-2</v>
          </cell>
          <cell r="K1046">
            <v>0</v>
          </cell>
        </row>
        <row r="1047">
          <cell r="A1047" t="str">
            <v>Maize: kg produced</v>
          </cell>
          <cell r="C1047">
            <v>3.7853260273972601E-2</v>
          </cell>
          <cell r="D1047">
            <v>0</v>
          </cell>
          <cell r="E1047">
            <v>0.24841202054794523</v>
          </cell>
          <cell r="F1047">
            <v>0</v>
          </cell>
          <cell r="H1047">
            <v>0.27601335616438355</v>
          </cell>
          <cell r="I1047">
            <v>0</v>
          </cell>
          <cell r="J1047">
            <v>0.11355978082191778</v>
          </cell>
          <cell r="K1047">
            <v>0.90847824657534249</v>
          </cell>
        </row>
        <row r="1048">
          <cell r="A1048" t="str">
            <v>Sorghum: kg produced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3.0849190535491903E-2</v>
          </cell>
          <cell r="I1048">
            <v>0</v>
          </cell>
          <cell r="J1048">
            <v>3.7019028642590282E-2</v>
          </cell>
          <cell r="K1048">
            <v>0</v>
          </cell>
        </row>
        <row r="1049">
          <cell r="A1049" t="str">
            <v>Cowpeas: kg produced</v>
          </cell>
          <cell r="C1049">
            <v>0</v>
          </cell>
          <cell r="D1049">
            <v>0</v>
          </cell>
          <cell r="E1049">
            <v>1.8466064757160647E-2</v>
          </cell>
          <cell r="F1049">
            <v>0</v>
          </cell>
          <cell r="H1049">
            <v>0.10340996264009962</v>
          </cell>
          <cell r="I1049">
            <v>0</v>
          </cell>
          <cell r="J1049">
            <v>0.14181937733499375</v>
          </cell>
          <cell r="K1049">
            <v>0</v>
          </cell>
        </row>
        <row r="1050">
          <cell r="A1050" t="str">
            <v>Beans: kg produced</v>
          </cell>
          <cell r="C1050">
            <v>0</v>
          </cell>
          <cell r="D1050">
            <v>0</v>
          </cell>
          <cell r="E1050">
            <v>7.3647011207970112E-2</v>
          </cell>
          <cell r="F1050">
            <v>0</v>
          </cell>
          <cell r="H1050">
            <v>9.5741114570361163E-2</v>
          </cell>
          <cell r="I1050">
            <v>0</v>
          </cell>
          <cell r="J1050">
            <v>0.13256462017434623</v>
          </cell>
          <cell r="K1050">
            <v>0</v>
          </cell>
        </row>
        <row r="1051">
          <cell r="A1051" t="str">
            <v>Groundnuts (dry): no. local meas</v>
          </cell>
          <cell r="C1051">
            <v>7.2104607721046078E-3</v>
          </cell>
          <cell r="D1051">
            <v>0</v>
          </cell>
          <cell r="E1051">
            <v>6.0087173100871732E-3</v>
          </cell>
          <cell r="F1051">
            <v>0</v>
          </cell>
          <cell r="H1051">
            <v>3.0043586550435864E-2</v>
          </cell>
          <cell r="I1051">
            <v>0</v>
          </cell>
          <cell r="J1051">
            <v>9.0130759651307596E-2</v>
          </cell>
          <cell r="K1051">
            <v>0</v>
          </cell>
        </row>
        <row r="1052">
          <cell r="A1052" t="str">
            <v>WILD FOODS -- see worksheet Data 3</v>
          </cell>
          <cell r="C1052">
            <v>0</v>
          </cell>
          <cell r="D1052">
            <v>0.03</v>
          </cell>
          <cell r="E1052">
            <v>0</v>
          </cell>
          <cell r="F1052">
            <v>0.05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>Food aid</v>
          </cell>
          <cell r="C1056">
            <v>9.5238095238095233E-2</v>
          </cell>
          <cell r="D1056">
            <v>0</v>
          </cell>
          <cell r="E1056">
            <v>7.9365079365079375E-2</v>
          </cell>
          <cell r="F1056">
            <v>0</v>
          </cell>
          <cell r="H1056">
            <v>7.9365079365079375E-2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>Purchase - other</v>
          </cell>
          <cell r="C1057">
            <v>0</v>
          </cell>
          <cell r="D1057">
            <v>0</v>
          </cell>
          <cell r="E1057">
            <v>0</v>
          </cell>
          <cell r="F1057">
            <v>0</v>
          </cell>
          <cell r="H1057">
            <v>9.0201295143212956E-3</v>
          </cell>
          <cell r="I1057">
            <v>-9.0201295143212956E-3</v>
          </cell>
          <cell r="J1057">
            <v>0</v>
          </cell>
          <cell r="K1057">
            <v>0</v>
          </cell>
        </row>
        <row r="1058">
          <cell r="A1058" t="str">
            <v>Purchase - desirable</v>
          </cell>
          <cell r="C1058">
            <v>0</v>
          </cell>
          <cell r="D1058">
            <v>0</v>
          </cell>
          <cell r="E1058">
            <v>2.5809041095890412E-3</v>
          </cell>
          <cell r="F1058">
            <v>-2.5809041095890412E-3</v>
          </cell>
          <cell r="H1058">
            <v>2.5809041095890412E-3</v>
          </cell>
          <cell r="I1058">
            <v>-2.5809041095890412E-3</v>
          </cell>
          <cell r="J1058">
            <v>3.0970849315068495E-3</v>
          </cell>
          <cell r="K1058">
            <v>-3.0970849315068495E-3</v>
          </cell>
        </row>
        <row r="1059">
          <cell r="A1059" t="str">
            <v>Purchase - fpl non staple</v>
          </cell>
          <cell r="C1059">
            <v>0.11754351183063511</v>
          </cell>
          <cell r="D1059">
            <v>0.29424558415767643</v>
          </cell>
          <cell r="E1059">
            <v>0.11750460772104607</v>
          </cell>
          <cell r="F1059">
            <v>0.2942844882672655</v>
          </cell>
          <cell r="H1059">
            <v>0.14096737235367371</v>
          </cell>
          <cell r="I1059">
            <v>0.27082172363463786</v>
          </cell>
          <cell r="J1059">
            <v>0.23250919053549191</v>
          </cell>
          <cell r="K1059">
            <v>0.17927990545281969</v>
          </cell>
        </row>
        <row r="1060">
          <cell r="A1060" t="str">
            <v>Purchase - staple</v>
          </cell>
          <cell r="C1060">
            <v>0.92868750784557907</v>
          </cell>
          <cell r="E1060">
            <v>0.70012455168119558</v>
          </cell>
          <cell r="H1060">
            <v>0.64194124034869238</v>
          </cell>
          <cell r="J1060">
            <v>0.53823582067247822</v>
          </cell>
        </row>
        <row r="1064">
          <cell r="A1064" t="str">
            <v>Cattle sales - local: no. sold</v>
          </cell>
          <cell r="C1064">
            <v>0</v>
          </cell>
          <cell r="D1064">
            <v>0</v>
          </cell>
          <cell r="E1064">
            <v>3000</v>
          </cell>
          <cell r="F1064">
            <v>0</v>
          </cell>
          <cell r="H1064">
            <v>9000</v>
          </cell>
          <cell r="I1064">
            <v>0</v>
          </cell>
          <cell r="J1064">
            <v>12000</v>
          </cell>
          <cell r="K1064">
            <v>0</v>
          </cell>
        </row>
        <row r="1065">
          <cell r="A1065" t="str">
            <v>Goat sales - local: no. sold</v>
          </cell>
          <cell r="C1065">
            <v>0</v>
          </cell>
          <cell r="D1065">
            <v>0</v>
          </cell>
          <cell r="E1065">
            <v>630</v>
          </cell>
          <cell r="F1065">
            <v>0</v>
          </cell>
          <cell r="H1065">
            <v>1600</v>
          </cell>
          <cell r="I1065">
            <v>400</v>
          </cell>
          <cell r="J1065">
            <v>3200</v>
          </cell>
          <cell r="K1065">
            <v>1200</v>
          </cell>
        </row>
        <row r="1066">
          <cell r="A1066" t="str">
            <v>Sheep sales - local: no. sold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2400</v>
          </cell>
          <cell r="K1066">
            <v>0</v>
          </cell>
        </row>
        <row r="1067">
          <cell r="A1067" t="str">
            <v>Maize: kg produced</v>
          </cell>
          <cell r="C1067">
            <v>0</v>
          </cell>
          <cell r="D1067">
            <v>0</v>
          </cell>
          <cell r="E1067">
            <v>0</v>
          </cell>
          <cell r="F1067">
            <v>0</v>
          </cell>
          <cell r="H1067">
            <v>0</v>
          </cell>
          <cell r="I1067">
            <v>0</v>
          </cell>
          <cell r="J1067">
            <v>3600</v>
          </cell>
          <cell r="K1067">
            <v>-3600</v>
          </cell>
        </row>
        <row r="1068">
          <cell r="A1068" t="str">
            <v>WILD FOODS -- see worksheet Data 3</v>
          </cell>
          <cell r="C1068">
            <v>0</v>
          </cell>
          <cell r="D1068">
            <v>750</v>
          </cell>
          <cell r="E1068">
            <v>0</v>
          </cell>
          <cell r="F1068">
            <v>750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</row>
        <row r="1069">
          <cell r="A1069" t="str">
            <v>Agricultural cash income -- see Data2</v>
          </cell>
          <cell r="C1069">
            <v>3375</v>
          </cell>
          <cell r="D1069">
            <v>0</v>
          </cell>
          <cell r="E1069">
            <v>7275</v>
          </cell>
          <cell r="F1069">
            <v>0</v>
          </cell>
          <cell r="H1069">
            <v>750</v>
          </cell>
          <cell r="I1069">
            <v>0</v>
          </cell>
          <cell r="J1069">
            <v>0</v>
          </cell>
          <cell r="K1069">
            <v>0</v>
          </cell>
        </row>
        <row r="1070">
          <cell r="A1070" t="str">
            <v>Domestic work cash income -- see Data2</v>
          </cell>
          <cell r="C1070">
            <v>3960</v>
          </cell>
          <cell r="D1070">
            <v>0</v>
          </cell>
          <cell r="E1070">
            <v>5640</v>
          </cell>
          <cell r="F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</row>
        <row r="1071">
          <cell r="A1071" t="str">
            <v>Formal Employment (conservancies, etc.)</v>
          </cell>
          <cell r="C1071">
            <v>0</v>
          </cell>
          <cell r="D1071">
            <v>0</v>
          </cell>
          <cell r="E1071">
            <v>0</v>
          </cell>
          <cell r="F1071">
            <v>0</v>
          </cell>
          <cell r="H1071">
            <v>79800</v>
          </cell>
          <cell r="I1071">
            <v>0</v>
          </cell>
          <cell r="J1071">
            <v>264000</v>
          </cell>
          <cell r="K1071">
            <v>0</v>
          </cell>
        </row>
        <row r="1072">
          <cell r="A1072" t="str">
            <v>Self-employment -- see Data2</v>
          </cell>
          <cell r="C1072">
            <v>5040</v>
          </cell>
          <cell r="D1072">
            <v>1008</v>
          </cell>
          <cell r="E1072">
            <v>5040</v>
          </cell>
          <cell r="F1072">
            <v>1008</v>
          </cell>
          <cell r="H1072">
            <v>30520</v>
          </cell>
          <cell r="I1072">
            <v>6104</v>
          </cell>
          <cell r="J1072">
            <v>0</v>
          </cell>
          <cell r="K1072">
            <v>0</v>
          </cell>
        </row>
        <row r="1073">
          <cell r="A1073" t="str">
            <v>Small business -- see Data2</v>
          </cell>
          <cell r="C1073">
            <v>0</v>
          </cell>
          <cell r="D1073">
            <v>0</v>
          </cell>
          <cell r="E1073">
            <v>3600</v>
          </cell>
          <cell r="F1073">
            <v>0</v>
          </cell>
          <cell r="H1073">
            <v>6120</v>
          </cell>
          <cell r="I1073">
            <v>0</v>
          </cell>
          <cell r="J1073">
            <v>46800</v>
          </cell>
          <cell r="K1073">
            <v>0</v>
          </cell>
        </row>
        <row r="1074">
          <cell r="A1074" t="str">
            <v>Social Cash Transfers -- see Data2</v>
          </cell>
          <cell r="C1074">
            <v>17095.815170008718</v>
          </cell>
          <cell r="D1074">
            <v>0</v>
          </cell>
          <cell r="E1074">
            <v>18586.660854402788</v>
          </cell>
          <cell r="F1074">
            <v>0</v>
          </cell>
          <cell r="H1074">
            <v>8312.9032258064526</v>
          </cell>
          <cell r="I1074">
            <v>0</v>
          </cell>
          <cell r="J1074">
            <v>8312.9032258064526</v>
          </cell>
          <cell r="K1074">
            <v>0</v>
          </cell>
        </row>
        <row r="1075">
          <cell r="A1075" t="str">
            <v/>
          </cell>
          <cell r="C1075" t="str">
            <v/>
          </cell>
          <cell r="D1075" t="str">
            <v/>
          </cell>
          <cell r="E1075" t="str">
            <v/>
          </cell>
          <cell r="F1075" t="str">
            <v/>
          </cell>
          <cell r="H1075" t="str">
            <v/>
          </cell>
          <cell r="I1075" t="str">
            <v/>
          </cell>
          <cell r="J1075" t="str">
            <v/>
          </cell>
          <cell r="K1075" t="str">
            <v/>
          </cell>
        </row>
        <row r="1076">
          <cell r="A1076" t="str">
            <v/>
          </cell>
          <cell r="C1076" t="str">
            <v/>
          </cell>
          <cell r="D1076" t="str">
            <v/>
          </cell>
          <cell r="E1076" t="str">
            <v/>
          </cell>
          <cell r="F1076" t="str">
            <v/>
          </cell>
          <cell r="H1076" t="str">
            <v/>
          </cell>
          <cell r="I1076" t="str">
            <v/>
          </cell>
          <cell r="J1076" t="str">
            <v/>
          </cell>
          <cell r="K1076" t="str">
            <v/>
          </cell>
        </row>
        <row r="1077">
          <cell r="A1077" t="str">
            <v/>
          </cell>
          <cell r="C1077" t="str">
            <v/>
          </cell>
          <cell r="D1077" t="str">
            <v/>
          </cell>
          <cell r="E1077" t="str">
            <v/>
          </cell>
          <cell r="F1077" t="str">
            <v/>
          </cell>
          <cell r="H1077" t="str">
            <v/>
          </cell>
          <cell r="I1077" t="str">
            <v/>
          </cell>
          <cell r="J1077" t="str">
            <v/>
          </cell>
          <cell r="K1077" t="str">
            <v/>
          </cell>
        </row>
        <row r="1078">
          <cell r="A1078" t="str">
            <v/>
          </cell>
          <cell r="C1078" t="str">
            <v/>
          </cell>
          <cell r="D1078" t="str">
            <v/>
          </cell>
          <cell r="E1078" t="str">
            <v/>
          </cell>
          <cell r="F1078" t="str">
            <v/>
          </cell>
          <cell r="H1078" t="str">
            <v/>
          </cell>
          <cell r="I1078" t="str">
            <v/>
          </cell>
          <cell r="J1078" t="str">
            <v/>
          </cell>
          <cell r="K1078" t="str">
            <v/>
          </cell>
        </row>
        <row r="1079">
          <cell r="A1079" t="str">
            <v/>
          </cell>
          <cell r="C1079" t="str">
            <v/>
          </cell>
          <cell r="D1079" t="str">
            <v/>
          </cell>
          <cell r="E1079" t="str">
            <v/>
          </cell>
          <cell r="F1079" t="str">
            <v/>
          </cell>
          <cell r="H1079" t="str">
            <v/>
          </cell>
          <cell r="I1079" t="str">
            <v/>
          </cell>
          <cell r="J1079" t="str">
            <v/>
          </cell>
          <cell r="K1079" t="str">
            <v/>
          </cell>
        </row>
        <row r="1080">
          <cell r="A1080" t="str">
            <v/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  <cell r="H1080" t="str">
            <v/>
          </cell>
          <cell r="I1080" t="str">
            <v/>
          </cell>
          <cell r="J1080" t="str">
            <v/>
          </cell>
          <cell r="K1080" t="str">
            <v/>
          </cell>
        </row>
        <row r="1081">
          <cell r="A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51"/>
  <sheetViews>
    <sheetView showGridLines="0" workbookViewId="0">
      <pane xSplit="1" ySplit="2" topLeftCell="D22" activePane="bottomRight" state="frozen"/>
      <selection pane="topRight" activeCell="B1" sqref="B1"/>
      <selection pane="bottomLeft" activeCell="A3" sqref="A3"/>
      <selection pane="bottomRight" activeCell="M23" sqref="M23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ZANOC</v>
      </c>
      <c r="B1" s="2"/>
      <c r="C1" s="2"/>
      <c r="D1" s="2"/>
      <c r="E1" s="2" t="s">
        <v>46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09"/>
      <c r="X1" s="113" t="s">
        <v>68</v>
      </c>
      <c r="Y1" s="114" t="s">
        <v>59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6"/>
      <c r="AI1" s="109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09"/>
      <c r="X2" s="117" t="s">
        <v>60</v>
      </c>
      <c r="Y2" s="114" t="s">
        <v>61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6"/>
      <c r="AI2" s="109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53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69</v>
      </c>
      <c r="R3" s="56"/>
      <c r="S3" s="67"/>
      <c r="T3" s="56"/>
      <c r="U3" s="56"/>
      <c r="V3" s="56"/>
      <c r="W3" s="109"/>
      <c r="X3" s="117"/>
      <c r="Y3" s="114" t="s">
        <v>62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70</v>
      </c>
      <c r="R4" s="56"/>
      <c r="S4" s="29"/>
      <c r="T4" s="56"/>
      <c r="U4" s="56"/>
      <c r="V4" s="56"/>
      <c r="W4" s="109"/>
      <c r="X4" s="117"/>
      <c r="Y4" s="114" t="s">
        <v>63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130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0" si="0">(B6+C6)</f>
        <v>0</v>
      </c>
      <c r="E6" s="75">
        <f>Poor!E6</f>
        <v>1</v>
      </c>
      <c r="F6" s="2" t="s">
        <v>21</v>
      </c>
      <c r="H6" s="24">
        <f t="shared" ref="H6:H21" si="1">(E6*F$7/F$9)</f>
        <v>1</v>
      </c>
      <c r="I6" s="22">
        <f t="shared" ref="I6:I21" si="2">(D6*H6)</f>
        <v>0</v>
      </c>
      <c r="J6" s="24">
        <f t="shared" ref="J6:J13" si="3">IF(I$24&lt;=1+I$113,I6,B6*H6+J$25*(I6-B6*H6))</f>
        <v>0</v>
      </c>
      <c r="K6" s="22">
        <f t="shared" ref="K6:K23" si="4">B6</f>
        <v>0</v>
      </c>
      <c r="L6" s="22">
        <f t="shared" ref="L6:L21" si="5">IF(K6="","",K6*H6)</f>
        <v>0</v>
      </c>
      <c r="M6" s="176">
        <f t="shared" ref="M6:M23" si="6">J6</f>
        <v>0</v>
      </c>
      <c r="N6" s="233">
        <v>3</v>
      </c>
      <c r="O6" s="22" t="s">
        <v>22</v>
      </c>
      <c r="P6" s="22"/>
      <c r="Q6" s="56"/>
      <c r="R6" s="70" t="s">
        <v>7</v>
      </c>
      <c r="S6" s="70" t="s">
        <v>71</v>
      </c>
      <c r="T6" s="70" t="s">
        <v>22</v>
      </c>
      <c r="U6" s="56"/>
      <c r="V6" s="56"/>
      <c r="W6" s="114"/>
      <c r="X6" s="117"/>
      <c r="Y6" s="184">
        <f>M6*4</f>
        <v>0</v>
      </c>
      <c r="Z6" s="155">
        <f>Poor!Z6</f>
        <v>0.17</v>
      </c>
      <c r="AA6" s="120">
        <f>$M6*Z6*4</f>
        <v>0</v>
      </c>
      <c r="AB6" s="155">
        <f>Poor!AB6</f>
        <v>0.17</v>
      </c>
      <c r="AC6" s="120">
        <f t="shared" ref="AC6:AC21" si="7">$M6*AB6*4</f>
        <v>0</v>
      </c>
      <c r="AD6" s="155">
        <f>Poor!AD6</f>
        <v>0.33</v>
      </c>
      <c r="AE6" s="120">
        <f t="shared" ref="AE6:AE21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4">
        <f>SUM(AA6,AC6,AE6,AG6)/4</f>
        <v>0</v>
      </c>
      <c r="AJ6" s="119">
        <f>(AA6+AC6)/2</f>
        <v>0</v>
      </c>
      <c r="AK6" s="118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6">
        <f>IF([1]Summ!C1045="",0,[1]Summ!C1045)</f>
        <v>0</v>
      </c>
      <c r="C7" s="216">
        <f>IF([1]Summ!D1045="",0,[1]Summ!D1045)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6">
        <f t="shared" si="6"/>
        <v>0</v>
      </c>
      <c r="N7" s="233">
        <v>3</v>
      </c>
      <c r="O7" s="2"/>
      <c r="P7" s="22"/>
      <c r="Q7" s="59" t="s">
        <v>72</v>
      </c>
      <c r="R7" s="226">
        <f>IF($B$68=0,0,(SUMIF($N$6:$N$20,$U7,K$6:K$20)+SUMIF($N$78:$N$100,$U7,K$78:K$100))*$I$70*Poor!$B$68/$B$68)</f>
        <v>344.95269483095262</v>
      </c>
      <c r="S7" s="226">
        <f>IF($B$68=0,0,(SUMIF($N$6:$N$20,$U7,L$6:L$20)+SUMIF($N$78:$N$100,$U7,L$78:L$100))*$I$70*Poor!$B$68/$B$68)</f>
        <v>344.95269483095262</v>
      </c>
      <c r="T7" s="226">
        <f>IF($B$68=0,0,(SUMIF($N$6:$N$20,$U7,M$6:M$20)+SUMIF($N$78:$N$100,$U7,M$78:M$100))*$I$70*Poor!$B$68/$B$68)</f>
        <v>344.95269483095262</v>
      </c>
      <c r="U7" s="227">
        <v>1</v>
      </c>
      <c r="V7" s="56"/>
      <c r="W7" s="114"/>
      <c r="X7" s="117">
        <f>Poor!X7</f>
        <v>4</v>
      </c>
      <c r="Y7" s="184">
        <f t="shared" ref="Y7:Y21" si="9">M7*4</f>
        <v>0</v>
      </c>
      <c r="Z7" s="124">
        <f>IF($Y7=0,0,AA7/$Y7)</f>
        <v>0</v>
      </c>
      <c r="AA7" s="120">
        <f>IF($X7=1,IF(SUM(AA$6,AA$12:AA$21)&lt;1,IF((1-SUM(AA$6,AA$12:AA$21))*$M7/SUM($M$7*IF($X$7=1,1,0),$M$8*IF($X$8=1,1,0),$M$9*IF($X$9=1,1,0),$M$10*IF($X$10=1,1,0),$M$11*IF($X$11=1,1,0))&lt;Y7,(1-SUM(AA$6,AA$12:AA$21)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$21)&lt;1,IF(SUM(AC$6,AC$12:AC$21)+SUM((Y$7-AA$7)*IF($X$7&lt;3,1,0),(Y$8-AA$8)*IF($X$8&lt;3,1,0),(Y$9-AA$9)*IF($X$9&lt;3,1,0),(Y$10-AA$10)*IF($X$10&lt;3,1,0),(Y$11-AA$11)*IF($X$11&lt;3,1,0))&lt;1,Y7-AA7,IF((1-SUM(AC$6,AC$12:AC$21))*$M7/SUM($M$7*IF($X$7&lt;3,1,0),$M$8*IF($X$8&lt;3,1,0),$M$9*IF($X$9&lt;3,1,0),$M$10*IF($X$10&lt;3,1,0),$M$11*IF($X$11&lt;3,1,0))&lt;Y7-AA7,(1-SUM(AC$6,AC$12:AC$21)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$21)&lt;1,IF(SUM(AE$6:AE$6,AE$12:AE$21)+SUM((Y$7-AA$7-AC$7)*IF($X$7&lt;3,1,0),(Y$8-AA$8-AC$8)*IF($X$8&lt;3,1,0),(Y$9-AA$9-AC$9)*IF($X$9&lt;3,1,0),(Y$10-AA$10-AC$10)*IF($X$10&lt;3,1,0),(Y$11-AA$11-AC$11)*IF($X$11&lt;3,1,0))&lt;1,Y7-AA7-AC7,IF((1-SUM(AE$6:AE$6,AE$12:AE$21))*$M7/SUM($M$7*IF($X$7&lt;4,1,0),$M$8*IF($X$8&lt;4,1,0),$M$9*IF($X$9&lt;4,1,0),$M$10*IF($X$10&lt;4,1,0),$M$11*IF($X$11&lt;4,1,0))&lt;Y7-AA7-AC7,(1-SUM(AE$6:AE$6,AE$12:AE$21))*$M7/SUM($M$7*IF($X$7&lt;4,1,0),$M$8*IF($X$8&lt;4,1,0),$M$9*IF($X$9&lt;4,1,0),$M$10*IF($X$10&lt;4,1,0),$M$11*IF($X$11&lt;4,1,0)),Y7-AA7-AC7)),0),0)</f>
        <v>0</v>
      </c>
      <c r="AF7" s="121">
        <f t="shared" ref="AF7:AF21" si="10">1-SUM(Z7,AB7,AD7)</f>
        <v>1</v>
      </c>
      <c r="AG7" s="120">
        <f t="shared" ref="AG7:AG21" si="11">$M7*AF7*4</f>
        <v>0</v>
      </c>
      <c r="AH7" s="122">
        <f t="shared" ref="AH7:AH22" si="12">SUM(Z7,AB7,AD7,AF7)</f>
        <v>1</v>
      </c>
      <c r="AI7" s="184">
        <f t="shared" ref="AI7:AI22" si="13">SUM(AA7,AC7,AE7,AG7)/4</f>
        <v>0</v>
      </c>
      <c r="AJ7" s="119">
        <f t="shared" ref="AJ7:AJ23" si="14">(AA7+AC7)/2</f>
        <v>0</v>
      </c>
      <c r="AK7" s="118">
        <f t="shared" ref="AK7:AK23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6">
        <f>IF([1]Summ!C1046="",0,[1]Summ!C1046)</f>
        <v>0</v>
      </c>
      <c r="C8" s="216">
        <f>IF([1]Summ!D1046="",0,[1]Summ!D1046)</f>
        <v>0</v>
      </c>
      <c r="D8" s="24">
        <f t="shared" si="0"/>
        <v>0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8">
        <f t="shared" si="6"/>
        <v>0</v>
      </c>
      <c r="N8" s="233">
        <v>3</v>
      </c>
      <c r="O8" s="2"/>
      <c r="P8" s="22"/>
      <c r="Q8" s="59" t="s">
        <v>73</v>
      </c>
      <c r="R8" s="226">
        <f>IF($B$68=0,0,(SUMIF($N$6:$N$20,$U8,K$6:K$20)+SUMIF($N$78:$N$100,$U8,K$78:K$100))*$I$70*Poor!$B$68/$B$68)</f>
        <v>0</v>
      </c>
      <c r="S8" s="226">
        <f>IF($B$68=0,0,(SUMIF($N$6:$N$20,$U8,L$6:L$20)+SUMIF($N$78:$N$100,$U8,L$78:L$100))*$I$70*Poor!$B$68/$B$68)</f>
        <v>0</v>
      </c>
      <c r="T8" s="226">
        <f>IF($B$68=0,0,(SUMIF($N$6:$N$20,$U8,M$6:M$20)+SUMIF($N$78:$N$100,$U8,M$78:M$100))*$I$70*Poor!$B$68/$B$68)</f>
        <v>0</v>
      </c>
      <c r="U8" s="227">
        <v>2</v>
      </c>
      <c r="V8" s="56"/>
      <c r="W8" s="114"/>
      <c r="X8" s="117">
        <f>Poor!X8</f>
        <v>1</v>
      </c>
      <c r="Y8" s="184">
        <f t="shared" si="9"/>
        <v>0</v>
      </c>
      <c r="Z8" s="124">
        <f>IF($Y8=0,0,AA8/$Y8)</f>
        <v>0</v>
      </c>
      <c r="AA8" s="120">
        <f>IF($X8=1,IF(SUM(AA$6,AA$12:AA$21)&lt;1,IF((1-SUM(AA$6,AA$12:AA$21))*$M8/SUM($M$7*IF($X$7=1,1,0),$M$8*IF($X$8=1,1,0),$M$9*IF($X$9=1,1,0),$M$10*IF($X$10=1,1,0),$M$11*IF($X$11=1,1,0))&lt;Y8,(1-SUM(AA$6,AA$12:AA$21))*$M8/SUM($M$7*IF($X$7=1,1,0),$M$8*IF($X$8=1,1,0),$M$9*IF($X$9=1,1,0),$M$10*IF($X$10=1,1,0),$M$11*IF($X$11=1,1,0)),Y8),0),0)</f>
        <v>0</v>
      </c>
      <c r="AB8" s="124">
        <f>IF($Y8=0,0,AC8/$Y8)</f>
        <v>0</v>
      </c>
      <c r="AC8" s="120">
        <f>IF($X8&lt;3,IF(SUM(AC$6,AC$12:AC$21)&lt;1,IF(SUM(AC$6,AC$12:AC$21)+SUM((Y$7-AA$7)*IF($X$7&lt;3,1,0),(Y$8-AA$8)*IF($X$8&lt;3,1,0),(Y$9-AA$9)*IF($X$9&lt;3,1,0),(Y$10-AA$10)*IF($X$10&lt;3,1,0),(Y$11-AA$11)*IF($X$11&lt;3,1,0))&lt;1,Y8-AA8,IF((1-SUM(AC$6,AC$12:AC$21))*$M8/SUM($M$7*IF($X$7&lt;3,1,0),$M$8*IF($X$8&lt;3,1,0),$M$9*IF($X$9&lt;3,1,0),$M$10*IF($X$10&lt;3,1,0),$M$11*IF($X$11&lt;3,1,0))&lt;Y8-AA8,(1-SUM(AC$6,AC$12:AC$21))*$M8/SUM($M$7*IF($X$7&lt;3,1,0),$M$8*IF($X$8&lt;3,1,0),$M$9*IF($X$9&lt;3,1,0),$M$10*IF($X$10&lt;3,1,0),$M$11*IF($X$11&lt;3,1,0)),Y8-AA8)),0),0)</f>
        <v>0</v>
      </c>
      <c r="AD8" s="124">
        <f>IF($Y8=0,0,AE8/$Y8)</f>
        <v>0</v>
      </c>
      <c r="AE8" s="120">
        <f>IF($X8&lt;4,IF(SUM(AE$6:AE$6,AE$12:AE$21)&lt;1,IF(SUM(AE$6:AE$6,AE$12:AE$21)+SUM((Y$7-AA$7-AC$7)*IF($X$7&lt;3,1,0),(Y$8-AA$8-AC$8)*IF($X$8&lt;3,1,0),(Y$9-AA$9-AC$9)*IF($X$9&lt;3,1,0),(Y$10-AA$10-AC$10)*IF($X$10&lt;3,1,0),(Y$11-AA$11-AC$11)*IF($X$11&lt;3,1,0))&lt;1,Y8-AA8-AC8,IF((1-SUM(AE$6:AE$6,AE$12:AE$21))*$M8/SUM($M$7*IF($X$7&lt;4,1,0),$M$8*IF($X$8&lt;4,1,0),$M$9*IF($X$9&lt;4,1,0),$M$10*IF($X$10&lt;4,1,0),$M$11*IF($X$11&lt;4,1,0))&lt;Y8-AA8-AC8,(1-SUM(AE$6:AE$6,AE$12:AE$21))*$M8/SUM($M$7*IF($X$7&lt;4,1,0),$M$8*IF($X$8&lt;4,1,0),$M$9*IF($X$9&lt;4,1,0),$M$10*IF($X$10&lt;4,1,0),$M$11*IF($X$11&lt;4,1,0)),Y8-AA8-AC8)),0),0)</f>
        <v>0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4">
        <f t="shared" si="13"/>
        <v>0</v>
      </c>
      <c r="AJ8" s="119">
        <f t="shared" si="14"/>
        <v>0</v>
      </c>
      <c r="AK8" s="118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3.7853260273972601E-2</v>
      </c>
      <c r="C9" s="216">
        <f>IF([1]Summ!D1047="",0,[1]Summ!D1047)</f>
        <v>0</v>
      </c>
      <c r="D9" s="24">
        <f t="shared" si="0"/>
        <v>3.7853260273972601E-2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3.7853260273972601E-2</v>
      </c>
      <c r="J9" s="24">
        <f t="shared" si="3"/>
        <v>3.7853260273972601E-2</v>
      </c>
      <c r="K9" s="22">
        <f t="shared" si="4"/>
        <v>3.7853260273972601E-2</v>
      </c>
      <c r="L9" s="22">
        <f t="shared" si="5"/>
        <v>3.7853260273972601E-2</v>
      </c>
      <c r="M9" s="228">
        <f t="shared" si="6"/>
        <v>3.7853260273972601E-2</v>
      </c>
      <c r="N9" s="233">
        <v>1</v>
      </c>
      <c r="O9" s="2"/>
      <c r="P9" s="22"/>
      <c r="Q9" s="59" t="s">
        <v>74</v>
      </c>
      <c r="R9" s="226">
        <f>IF($B$68=0,0,(SUMIF($N$6:$N$20,$U9,K$6:K$20)+SUMIF($N$78:$N$100,$U9,K$78:K$100))*$I$70*Poor!$B$68/$B$68)</f>
        <v>0</v>
      </c>
      <c r="S9" s="226">
        <f>IF($B$68=0,0,(SUMIF($N$6:$N$20,$U9,L$6:L$20)+SUMIF($N$78:$N$100,$U9,L$78:L$100))*$I$70*Poor!$B$68/$B$68)</f>
        <v>0</v>
      </c>
      <c r="T9" s="226">
        <f>IF($B$68=0,0,(SUMIF($N$6:$N$20,$U9,M$6:M$20)+SUMIF($N$78:$N$100,$U9,M$78:M$100))*$I$70*Poor!$B$68/$B$68)</f>
        <v>0</v>
      </c>
      <c r="U9" s="227">
        <v>3</v>
      </c>
      <c r="V9" s="56"/>
      <c r="W9" s="114"/>
      <c r="X9" s="117">
        <f>Poor!X9</f>
        <v>1</v>
      </c>
      <c r="Y9" s="184">
        <f t="shared" si="9"/>
        <v>0.1514130410958904</v>
      </c>
      <c r="Z9" s="124">
        <f>IF($Y9=0,0,AA9/$Y9)</f>
        <v>1</v>
      </c>
      <c r="AA9" s="120">
        <f>IF($X9=1,IF(SUM(AA$6,AA$12:AA$21)&lt;1,IF((1-SUM(AA$6,AA$12:AA$21))*$M9/SUM($M$7*IF($X$7=1,1,0),$M$8*IF($X$8=1,1,0),$M$9*IF($X$9=1,1,0),$M$10*IF($X$10=1,1,0),$M$11*IF($X$11=1,1,0))&lt;Y9,(1-SUM(AA$6,AA$12:AA$21))*$M9/SUM($M$7*IF($X$7=1,1,0),$M$8*IF($X$8=1,1,0),$M$9*IF($X$9=1,1,0),$M$10*IF($X$10=1,1,0),$M$11*IF($X$11=1,1,0)),Y9),0),0)</f>
        <v>0.1514130410958904</v>
      </c>
      <c r="AB9" s="124">
        <f>IF($Y9=0,0,AC9/$Y9)</f>
        <v>0</v>
      </c>
      <c r="AC9" s="120">
        <f>IF($X9&lt;3,IF(SUM(AC$6,AC$12:AC$21)&lt;1,IF(SUM(AC$6,AC$12:AC$21)+SUM((Y$7-AA$7)*IF($X$7&lt;3,1,0),(Y$8-AA$8)*IF($X$8&lt;3,1,0),(Y$9-AA$9)*IF($X$9&lt;3,1,0),(Y$10-AA$10)*IF($X$10&lt;3,1,0),(Y$11-AA$11)*IF($X$11&lt;3,1,0))&lt;1,Y9-AA9,IF((1-SUM(AC$6,AC$12:AC$21))*$M9/SUM($M$7*IF($X$7&lt;3,1,0),$M$8*IF($X$8&lt;3,1,0),$M$9*IF($X$9&lt;3,1,0),$M$10*IF($X$10&lt;3,1,0),$M$11*IF($X$11&lt;3,1,0))&lt;Y9-AA9,(1-SUM(AC$6,AC$12:AC$21))*$M9/SUM($M$7*IF($X$7&lt;3,1,0),$M$8*IF($X$8&lt;3,1,0),$M$9*IF($X$9&lt;3,1,0),$M$10*IF($X$10&lt;3,1,0),$M$11*IF($X$11&lt;3,1,0)),Y9-AA9)),0),0)</f>
        <v>0</v>
      </c>
      <c r="AD9" s="124">
        <f>IF($Y9=0,0,AE9/$Y9)</f>
        <v>0</v>
      </c>
      <c r="AE9" s="120">
        <f>IF($X9&lt;4,IF(SUM(AE$6:AE$6,AE$12:AE$21)&lt;1,IF(SUM(AE$6:AE$6,AE$12:AE$21)+SUM((Y$7-AA$7-AC$7)*IF($X$7&lt;3,1,0),(Y$8-AA$8-AC$8)*IF($X$8&lt;3,1,0),(Y$9-AA$9-AC$9)*IF($X$9&lt;3,1,0),(Y$10-AA$10-AC$10)*IF($X$10&lt;3,1,0),(Y$11-AA$11-AC$11)*IF($X$11&lt;3,1,0))&lt;1,Y9-AA9-AC9,IF((1-SUM(AE$6:AE$6,AE$12:AE$21))*$M9/SUM($M$7*IF($X$7&lt;4,1,0),$M$8*IF($X$8&lt;4,1,0),$M$9*IF($X$9&lt;4,1,0),$M$10*IF($X$10&lt;4,1,0),$M$11*IF($X$11&lt;4,1,0))&lt;Y9-AA9-AC9,(1-SUM(AE$6:AE$6,AE$12:AE$21))*$M9/SUM($M$7*IF($X$7&lt;4,1,0),$M$8*IF($X$8&lt;4,1,0),$M$9*IF($X$9&lt;4,1,0),$M$10*IF($X$10&lt;4,1,0),$M$11*IF($X$11&lt;4,1,0)),Y9-AA9-AC9)),0),0)</f>
        <v>0</v>
      </c>
      <c r="AF9" s="121">
        <f t="shared" si="10"/>
        <v>0</v>
      </c>
      <c r="AG9" s="120">
        <f t="shared" si="11"/>
        <v>0</v>
      </c>
      <c r="AH9" s="122">
        <f t="shared" si="12"/>
        <v>1</v>
      </c>
      <c r="AI9" s="184">
        <f t="shared" si="13"/>
        <v>3.7853260273972601E-2</v>
      </c>
      <c r="AJ9" s="119">
        <f t="shared" si="14"/>
        <v>7.5706520547945202E-2</v>
      </c>
      <c r="AK9" s="118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216">
        <f>IF([1]Summ!C1048="",0,[1]Summ!C1048)</f>
        <v>0</v>
      </c>
      <c r="C10" s="216">
        <f>IF([1]Summ!D1048="",0,[1]Summ!D1048)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8">
        <f t="shared" si="6"/>
        <v>0</v>
      </c>
      <c r="N10" s="233">
        <v>1</v>
      </c>
      <c r="O10" s="2"/>
      <c r="P10" s="22"/>
      <c r="Q10" s="59" t="s">
        <v>75</v>
      </c>
      <c r="R10" s="226">
        <f>IF($B$68=0,0,(SUMIF($N$6:$N$20,$U10,K$6:K$20)+SUMIF($N$78:$N$100,$U10,K$78:K$100))*$I$70*Poor!$B$68/$B$68)</f>
        <v>0</v>
      </c>
      <c r="S10" s="226">
        <f>IF($B$68=0,0,(SUMIF($N$6:$N$20,$U10,L$6:L$20)+SUMIF($N$78:$N$100,$U10,L$78:L$100))*$I$70*Poor!$B$68/$B$68)</f>
        <v>0</v>
      </c>
      <c r="T10" s="226">
        <f>IF($B$68=0,0,(SUMIF($N$6:$N$20,$U10,M$6:M$20)+SUMIF($N$78:$N$100,$U10,M$78:M$100))*$I$70*Poor!$B$68/$B$68)</f>
        <v>0</v>
      </c>
      <c r="U10" s="227">
        <v>4</v>
      </c>
      <c r="V10" s="56"/>
      <c r="W10" s="114"/>
      <c r="X10" s="117">
        <f>Poor!X10</f>
        <v>1</v>
      </c>
      <c r="Y10" s="184">
        <f t="shared" si="9"/>
        <v>0</v>
      </c>
      <c r="Z10" s="124">
        <f>IF($Y10=0,0,AA10/$Y10)</f>
        <v>0</v>
      </c>
      <c r="AA10" s="120">
        <f>IF($X10=1,IF(SUM(AA$6,AA$12:AA$21)&lt;1,IF((1-SUM(AA$6,AA$12:AA$21))*$M10/SUM($M$7*IF($X$7=1,1,0),$M$8*IF($X$8=1,1,0),$M$9*IF($X$9=1,1,0),$M$10*IF($X$10=1,1,0),$M$11*IF($X$11=1,1,0))&lt;Y10,(1-SUM(AA$6,AA$12:AA$21))*$M10/SUM($M$7*IF($X$7=1,1,0),$M$8*IF($X$8=1,1,0),$M$9*IF($X$9=1,1,0),$M$10*IF($X$10=1,1,0),$M$11*IF($X$11=1,1,0)),Y10),0),0)</f>
        <v>0</v>
      </c>
      <c r="AB10" s="124">
        <f>IF($Y10=0,0,AC10/$Y10)</f>
        <v>0</v>
      </c>
      <c r="AC10" s="120">
        <f>IF($X10&lt;3,IF(SUM(AC$6,AC$12:AC$21)&lt;1,IF(SUM(AC$6,AC$12:AC$21)+SUM((Y$7-AA$7)*IF($X$7&lt;3,1,0),(Y$8-AA$8)*IF($X$8&lt;3,1,0),(Y$9-AA$9)*IF($X$9&lt;3,1,0),(Y$10-AA$10)*IF($X$10&lt;3,1,0),(Y$11-AA$11)*IF($X$11&lt;3,1,0))&lt;1,Y10-AA10,IF((1-SUM(AC$6,AC$12:AC$21))*$M10/SUM($M$7*IF($X$7&lt;3,1,0),$M$8*IF($X$8&lt;3,1,0),$M$9*IF($X$9&lt;3,1,0),$M$10*IF($X$10&lt;3,1,0),$M$11*IF($X$11&lt;3,1,0))&lt;Y10-AA10,(1-SUM(AC$6,AC$12:AC$21))*$M10/SUM($M$7*IF($X$7&lt;3,1,0),$M$8*IF($X$8&lt;3,1,0),$M$9*IF($X$9&lt;3,1,0),$M$10*IF($X$10&lt;3,1,0),$M$11*IF($X$11&lt;3,1,0)),Y10-AA10)),0),0)</f>
        <v>0</v>
      </c>
      <c r="AD10" s="124">
        <f>IF($Y10=0,0,AE10/$Y10)</f>
        <v>0</v>
      </c>
      <c r="AE10" s="120">
        <f>IF($X10&lt;4,IF(SUM(AE$6:AE$6,AE$12:AE$21)&lt;1,IF(SUM(AE$6:AE$6,AE$12:AE$21)+SUM((Y$7-AA$7-AC$7)*IF($X$7&lt;3,1,0),(Y$8-AA$8-AC$8)*IF($X$8&lt;3,1,0),(Y$9-AA$9-AC$9)*IF($X$9&lt;3,1,0),(Y$10-AA$10-AC$10)*IF($X$10&lt;3,1,0),(Y$11-AA$11-AC$11)*IF($X$11&lt;3,1,0))&lt;1,Y10-AA10-AC10,IF((1-SUM(AE$6:AE$6,AE$12:AE$21))*$M10/SUM($M$7*IF($X$7&lt;4,1,0),$M$8*IF($X$8&lt;4,1,0),$M$9*IF($X$9&lt;4,1,0),$M$10*IF($X$10&lt;4,1,0),$M$11*IF($X$11&lt;4,1,0))&lt;Y10-AA10-AC10,(1-SUM(AE$6:AE$6,AE$12:AE$21))*$M10/SUM($M$7*IF($X$7&lt;4,1,0),$M$8*IF($X$8&lt;4,1,0),$M$9*IF($X$9&lt;4,1,0),$M$10*IF($X$10&lt;4,1,0),$M$11*IF($X$11&lt;4,1,0)),Y10-AA10-AC10)),0),0)</f>
        <v>0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4">
        <f t="shared" si="13"/>
        <v>0</v>
      </c>
      <c r="AJ10" s="119">
        <f t="shared" si="14"/>
        <v>0</v>
      </c>
      <c r="AK10" s="118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Cowpeas: kg produced</v>
      </c>
      <c r="B11" s="216">
        <f>IF([1]Summ!C1049="",0,[1]Summ!C1049)</f>
        <v>0</v>
      </c>
      <c r="C11" s="216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8">
        <f t="shared" si="6"/>
        <v>0</v>
      </c>
      <c r="N11" s="233">
        <v>1</v>
      </c>
      <c r="O11" s="2"/>
      <c r="P11" s="22"/>
      <c r="Q11" s="59" t="s">
        <v>76</v>
      </c>
      <c r="R11" s="226">
        <f>IF($B$68=0,0,(SUMIF($N$6:$N$20,$U11,K$6:K$20)+SUMIF($N$78:$N$100,$U11,K$78:K$100))*$I$70*Poor!$B$68/$B$68)</f>
        <v>0</v>
      </c>
      <c r="S11" s="226">
        <f>IF($B$68=0,0,(SUMIF($N$6:$N$20,$U11,L$6:L$20)+SUMIF($N$78:$N$100,$U11,L$78:L$100))*$I$70*Poor!$B$68/$B$68)</f>
        <v>0</v>
      </c>
      <c r="T11" s="226">
        <f>IF($B$68=0,0,(SUMIF($N$6:$N$20,$U11,M$6:M$20)+SUMIF($N$78:$N$100,$U11,M$78:M$100))*$I$70*Poor!$B$68/$B$68)</f>
        <v>0</v>
      </c>
      <c r="U11" s="227">
        <v>5</v>
      </c>
      <c r="V11" s="56"/>
      <c r="W11" s="114"/>
      <c r="X11" s="117">
        <f>Poor!X11</f>
        <v>1</v>
      </c>
      <c r="Y11" s="184">
        <f t="shared" si="9"/>
        <v>0</v>
      </c>
      <c r="Z11" s="124">
        <f>IF($Y11=0,0,AA11/$Y11)</f>
        <v>0</v>
      </c>
      <c r="AA11" s="120">
        <f>IF($X11=1,IF(SUM(AA$6,AA$12:AA$21)&lt;1,IF((1-SUM(AA$6,AA$12:AA$21))*$M11/SUM($M$7*IF($X$7=1,1,0),$M$8*IF($X$8=1,1,0),$M$9*IF($X$9=1,1,0),$M$10*IF($X$10=1,1,0),$M$11*IF($X$11=1,1,0))&lt;Y11,(1-SUM(AA$6,AA$12:AA$21))*$M11/SUM($M$7*IF($X$7=1,1,0),$M$8*IF($X$8=1,1,0),$M$9*IF($X$9=1,1,0),$M$10*IF($X$10=1,1,0),$M$11*IF($X$11=1,1,0)),Y11),0),0)</f>
        <v>0</v>
      </c>
      <c r="AB11" s="124">
        <f>IF($Y11=0,0,AC11/$Y11)</f>
        <v>0</v>
      </c>
      <c r="AC11" s="120">
        <f>IF($X11&lt;3,IF(SUM(AC$6,AC$12:AC$21)&lt;1,IF(SUM(AC$6,AC$12:AC$21)+SUM((Y$7-AA$7)*IF($X$7&lt;3,1,0),(Y$8-AA$8)*IF($X$8&lt;3,1,0),(Y$9-AA$9)*IF($X$9&lt;3,1,0),(Y$10-AA$10)*IF($X$10&lt;3,1,0),(Y$11-AA$11)*IF($X$11&lt;3,1,0))&lt;1,Y11-AA11,IF((1-SUM(AC$6,AC$12:AC$21))*$M11/SUM($M$7*IF($X$7&lt;3,1,0),$M$8*IF($X$8&lt;3,1,0),$M$9*IF($X$9&lt;3,1,0),$M$10*IF($X$10&lt;3,1,0),$M$11*IF($X$11&lt;3,1,0))&lt;Y11-AA11,(1-SUM(AC$6,AC$12:AC$21))*$M11/SUM($M$7*IF($X$7&lt;3,1,0),$M$8*IF($X$8&lt;3,1,0),$M$9*IF($X$9&lt;3,1,0),$M$10*IF($X$10&lt;3,1,0),$M$11*IF($X$11&lt;3,1,0)),Y11-AA11)),0),0)</f>
        <v>0</v>
      </c>
      <c r="AD11" s="124">
        <f>IF($Y11=0,0,AE11/$Y11)</f>
        <v>0</v>
      </c>
      <c r="AE11" s="120">
        <f>IF($X11&lt;4,IF(SUM(AE$6:AE$6,AE$12:AE$21)&lt;1,IF(SUM(AE$6:AE$6,AE$12:AE$21)+SUM((Y$7-AA$7-AC$7)*IF($X$7&lt;3,1,0),(Y$8-AA$8-AC$8)*IF($X$8&lt;3,1,0),(Y$9-AA$9-AC$9)*IF($X$9&lt;3,1,0),(Y$10-AA$10-AC$10)*IF($X$10&lt;3,1,0),(Y$11-AA$11-AC$11)*IF($X$11&lt;3,1,0))&lt;1,Y11-AA11-AC11,IF((1-SUM(AE$6:AE$6,AE$12:AE$21))*$M11/SUM($M$7*IF($X$7&lt;4,1,0),$M$8*IF($X$8&lt;4,1,0),$M$9*IF($X$9&lt;4,1,0),$M$10*IF($X$10&lt;4,1,0),$M$11*IF($X$11&lt;4,1,0))&lt;Y11-AA11-AC11,(1-SUM(AE$6:AE$6,AE$12:AE$21))*$M11/SUM($M$7*IF($X$7&lt;4,1,0),$M$8*IF($X$8&lt;4,1,0),$M$9*IF($X$9&lt;4,1,0),$M$10*IF($X$10&lt;4,1,0),$M$11*IF($X$11&lt;4,1,0)),Y11-AA11-AC11)),0),0)</f>
        <v>0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4">
        <f t="shared" si="13"/>
        <v>0</v>
      </c>
      <c r="AJ11" s="119">
        <f t="shared" si="14"/>
        <v>0</v>
      </c>
      <c r="AK11" s="118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6">
        <f>IF([1]Summ!C1050="",0,[1]Summ!C1050)</f>
        <v>0</v>
      </c>
      <c r="C12" s="216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8">
        <f t="shared" si="6"/>
        <v>0</v>
      </c>
      <c r="N12" s="233">
        <v>1</v>
      </c>
      <c r="O12" s="2"/>
      <c r="P12" s="22"/>
      <c r="Q12" s="125" t="s">
        <v>125</v>
      </c>
      <c r="R12" s="226">
        <f>IF($B$68=0,0,(SUMIF($N$6:$N$20,$U12,K$6:K$20)+SUMIF($N$78:$N$100,$U12,K$78:K$100))*$I$70*Poor!$B$68/$B$68)</f>
        <v>0</v>
      </c>
      <c r="S12" s="226">
        <f>IF($B$68=0,0,(SUMIF($N$6:$N$20,$U12,L$6:L$20)+SUMIF($N$78:$N$100,$U12,L$78:L$100))*$I$70*Poor!$B$68/$B$68)</f>
        <v>0</v>
      </c>
      <c r="T12" s="226">
        <f>IF($B$68=0,0,(SUMIF($N$6:$N$20,$U12,M$6:M$20)+SUMIF($N$78:$N$100,$U12,M$78:M$100))*$I$70*Poor!$B$68/$B$68)</f>
        <v>903.71462639487322</v>
      </c>
      <c r="U12" s="227">
        <v>6</v>
      </c>
      <c r="V12" s="56"/>
      <c r="W12" s="116"/>
      <c r="X12" s="117">
        <v>1</v>
      </c>
      <c r="Y12" s="184">
        <f t="shared" si="9"/>
        <v>0</v>
      </c>
      <c r="Z12" s="155">
        <f>Poor!Z12</f>
        <v>0</v>
      </c>
      <c r="AA12" s="120">
        <f>$M12*Z12*4</f>
        <v>0</v>
      </c>
      <c r="AB12" s="155">
        <f>Poor!AB12</f>
        <v>0</v>
      </c>
      <c r="AC12" s="120">
        <f>$M12*AB12*4</f>
        <v>0</v>
      </c>
      <c r="AD12" s="155">
        <f>Poor!AD12</f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4">
        <f t="shared" si="13"/>
        <v>0</v>
      </c>
      <c r="AJ12" s="119">
        <f t="shared" si="14"/>
        <v>0</v>
      </c>
      <c r="AK12" s="118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Groundnuts (dry): no. local meas</v>
      </c>
      <c r="B13" s="216">
        <f>IF([1]Summ!C1051="",0,[1]Summ!C1051)</f>
        <v>7.2104607721046078E-3</v>
      </c>
      <c r="C13" s="216">
        <f>IF([1]Summ!D1051="",0,[1]Summ!D1051)</f>
        <v>0</v>
      </c>
      <c r="D13" s="24">
        <f t="shared" si="0"/>
        <v>7.2104607721046078E-3</v>
      </c>
      <c r="E13" s="75">
        <f>Poor!E13</f>
        <v>1</v>
      </c>
      <c r="H13" s="24">
        <f t="shared" si="1"/>
        <v>1</v>
      </c>
      <c r="I13" s="22">
        <f t="shared" si="2"/>
        <v>7.2104607721046078E-3</v>
      </c>
      <c r="J13" s="24">
        <f t="shared" si="3"/>
        <v>7.2104607721046078E-3</v>
      </c>
      <c r="K13" s="22">
        <f t="shared" si="4"/>
        <v>7.2104607721046078E-3</v>
      </c>
      <c r="L13" s="22">
        <f t="shared" si="5"/>
        <v>7.2104607721046078E-3</v>
      </c>
      <c r="M13" s="229">
        <f t="shared" si="6"/>
        <v>7.2104607721046078E-3</v>
      </c>
      <c r="N13" s="233">
        <v>1</v>
      </c>
      <c r="O13" s="2"/>
      <c r="P13" s="22"/>
      <c r="Q13" s="59" t="s">
        <v>77</v>
      </c>
      <c r="R13" s="226">
        <f>IF($B$68=0,0,(SUMIF($N$6:$N$20,$U13,K$6:K$20)+SUMIF($N$78:$N$100,$U13,K$78:K$100))*$I$70*Poor!$B$68/$B$68)</f>
        <v>9858.2400000000016</v>
      </c>
      <c r="S13" s="226">
        <f>IF($B$68=0,0,(SUMIF($N$6:$N$20,$U13,L$6:L$20)+SUMIF($N$78:$N$100,$U13,L$78:L$100))*$I$70*Poor!$B$68/$B$68)</f>
        <v>9138.2850000000017</v>
      </c>
      <c r="T13" s="226">
        <f>IF($B$68=0,0,(SUMIF($N$6:$N$20,$U13,M$6:M$20)+SUMIF($N$78:$N$100,$U13,M$78:M$100))*$I$70*Poor!$B$68/$B$68)</f>
        <v>9138.2850000000017</v>
      </c>
      <c r="U13" s="227">
        <v>7</v>
      </c>
      <c r="V13" s="56"/>
      <c r="W13" s="109"/>
      <c r="X13" s="117"/>
      <c r="Y13" s="184">
        <f t="shared" si="9"/>
        <v>2.8841843088418431E-2</v>
      </c>
      <c r="Z13" s="155">
        <f>Poor!Z13</f>
        <v>1</v>
      </c>
      <c r="AA13" s="120">
        <f>$M13*Z13*4</f>
        <v>2.8841843088418431E-2</v>
      </c>
      <c r="AB13" s="155">
        <f>Poor!AB13</f>
        <v>0</v>
      </c>
      <c r="AC13" s="120">
        <f>$M13*AB13*4</f>
        <v>0</v>
      </c>
      <c r="AD13" s="155">
        <f>Poor!AD13</f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4">
        <f t="shared" si="13"/>
        <v>7.2104607721046078E-3</v>
      </c>
      <c r="AJ13" s="119">
        <f t="shared" si="14"/>
        <v>1.4420921544209216E-2</v>
      </c>
      <c r="AK13" s="118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WILD FOODS -- see worksheet Data 3</v>
      </c>
      <c r="B14" s="216">
        <f>IF([1]Summ!C1052="",0,[1]Summ!C1052)</f>
        <v>0</v>
      </c>
      <c r="C14" s="216">
        <f>IF([1]Summ!D1052="",0,[1]Summ!D1052)</f>
        <v>0.03</v>
      </c>
      <c r="D14" s="24">
        <f t="shared" si="0"/>
        <v>0.03</v>
      </c>
      <c r="E14" s="75">
        <f>Poor!E14</f>
        <v>0.8</v>
      </c>
      <c r="F14" s="22"/>
      <c r="H14" s="24">
        <f t="shared" si="1"/>
        <v>0.8</v>
      </c>
      <c r="I14" s="22">
        <f t="shared" si="2"/>
        <v>2.4E-2</v>
      </c>
      <c r="J14" s="24">
        <f>IF(I$24&lt;=1+I113,I14,B14*H14+J$25*(I14-B14*H14))</f>
        <v>2.4E-2</v>
      </c>
      <c r="K14" s="22">
        <f t="shared" si="4"/>
        <v>0</v>
      </c>
      <c r="L14" s="22">
        <f t="shared" si="5"/>
        <v>0</v>
      </c>
      <c r="M14" s="229">
        <f t="shared" si="6"/>
        <v>2.4E-2</v>
      </c>
      <c r="N14" s="233">
        <v>6</v>
      </c>
      <c r="O14" s="2"/>
      <c r="P14" s="22"/>
      <c r="Q14" s="125" t="s">
        <v>78</v>
      </c>
      <c r="R14" s="226">
        <f>IF($B$68=0,0,(SUMIF($N$6:$N$20,$U14,K$6:K$20)+SUMIF($N$78:$N$100,$U14,K$78:K$100))*$I$70*Poor!$B$68/$B$68)</f>
        <v>0</v>
      </c>
      <c r="S14" s="226">
        <f>IF($B$68=0,0,(SUMIF($N$6:$N$20,$U14,L$6:L$20)+SUMIF($N$78:$N$100,$U14,L$78:L$100))*$I$70*Poor!$B$68/$B$68)</f>
        <v>0</v>
      </c>
      <c r="T14" s="226">
        <f>IF($B$68=0,0,(SUMIF($N$6:$N$20,$U14,M$6:M$20)+SUMIF($N$78:$N$100,$U14,M$78:M$100))*$I$70*Poor!$B$68/$B$68)</f>
        <v>0</v>
      </c>
      <c r="U14" s="227">
        <v>8</v>
      </c>
      <c r="V14" s="56"/>
      <c r="W14" s="109"/>
      <c r="X14" s="117"/>
      <c r="Y14" s="184">
        <f>M14*4</f>
        <v>9.6000000000000002E-2</v>
      </c>
      <c r="Z14" s="155">
        <f>Poor!Z14</f>
        <v>0</v>
      </c>
      <c r="AA14" s="120">
        <f t="shared" ref="AA14:AA21" si="16">$M14*Z14*4</f>
        <v>0</v>
      </c>
      <c r="AB14" s="155">
        <f>Poor!AB14</f>
        <v>1</v>
      </c>
      <c r="AC14" s="120">
        <f t="shared" si="7"/>
        <v>9.6000000000000002E-2</v>
      </c>
      <c r="AD14" s="155">
        <f>Poor!AD14</f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4">
        <f>SUM(AA14,AC14,AE14,AG14)/4</f>
        <v>2.4E-2</v>
      </c>
      <c r="AJ14" s="119">
        <f t="shared" si="14"/>
        <v>4.8000000000000001E-2</v>
      </c>
      <c r="AK14" s="118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6">
        <f>IF([1]Summ!C1053="",0,[1]Summ!C1053)</f>
        <v>0</v>
      </c>
      <c r="C15" s="216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IF(I$24&lt;=1+I113,I15,B15*H15+J$25*(I15-B15*H15))</f>
        <v>0</v>
      </c>
      <c r="K15" s="22">
        <f t="shared" si="4"/>
        <v>0</v>
      </c>
      <c r="L15" s="22">
        <f t="shared" si="5"/>
        <v>0</v>
      </c>
      <c r="M15" s="230">
        <f t="shared" si="6"/>
        <v>0</v>
      </c>
      <c r="N15" s="233"/>
      <c r="O15" s="2"/>
      <c r="P15" s="22"/>
      <c r="Q15" s="59" t="s">
        <v>129</v>
      </c>
      <c r="R15" s="226">
        <f>IF($B$68=0,0,(SUMIF($N$6:$N$20,$U15,K$6:K$20)+SUMIF($N$78:$N$100,$U15,K$78:K$100))*$I$70*Poor!$B$68/$B$68)</f>
        <v>0</v>
      </c>
      <c r="S15" s="226">
        <f>IF($B$68=0,0,(SUMIF($N$6:$N$20,$U15,L$6:L$20)+SUMIF($N$78:$N$100,$U15,L$78:L$100))*$I$70*Poor!$B$68/$B$68)</f>
        <v>0</v>
      </c>
      <c r="T15" s="226">
        <f>IF($B$68=0,0,(SUMIF($N$6:$N$20,$U15,M$6:M$20)+SUMIF($N$78:$N$100,$U15,M$78:M$100))*$I$70*Poor!$B$68/$B$68)</f>
        <v>0</v>
      </c>
      <c r="U15" s="227">
        <v>9</v>
      </c>
      <c r="V15" s="56"/>
      <c r="W15" s="109"/>
      <c r="X15" s="117"/>
      <c r="Y15" s="184">
        <f t="shared" si="9"/>
        <v>0</v>
      </c>
      <c r="Z15" s="155">
        <f>Poor!Z15</f>
        <v>0.25</v>
      </c>
      <c r="AA15" s="120">
        <f t="shared" si="16"/>
        <v>0</v>
      </c>
      <c r="AB15" s="155">
        <f>Poor!AB15</f>
        <v>0.25</v>
      </c>
      <c r="AC15" s="120">
        <f t="shared" si="7"/>
        <v>0</v>
      </c>
      <c r="AD15" s="155">
        <f>Poor!AD15</f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4">
        <f t="shared" si="13"/>
        <v>0</v>
      </c>
      <c r="AJ15" s="119">
        <f t="shared" si="14"/>
        <v>0</v>
      </c>
      <c r="AK15" s="118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6">
        <f>IF([1]Summ!C1054="",0,[1]Summ!C1054)</f>
        <v>0</v>
      </c>
      <c r="C16" s="216">
        <f>IF([1]Summ!D1054="",0,[1]Summ!D1054)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IF(I$24&lt;=1+I113,I16,B16*H16+J$25*(I16-B16*H16))</f>
        <v>0</v>
      </c>
      <c r="K16" s="22">
        <f t="shared" si="4"/>
        <v>0</v>
      </c>
      <c r="L16" s="22">
        <f t="shared" si="5"/>
        <v>0</v>
      </c>
      <c r="M16" s="228">
        <f t="shared" si="6"/>
        <v>0</v>
      </c>
      <c r="N16" s="233"/>
      <c r="O16" s="2"/>
      <c r="P16" s="22"/>
      <c r="Q16" s="125" t="s">
        <v>79</v>
      </c>
      <c r="R16" s="226">
        <f>IF($B$68=0,0,(SUMIF($N$6:$N$20,$U16,K$6:K$20)+SUMIF($N$78:$N$100,$U16,K$78:K$100))*$I$70*Poor!$B$68/$B$68)</f>
        <v>6773.76</v>
      </c>
      <c r="S16" s="226">
        <f>IF($B$68=0,0,(SUMIF($N$6:$N$20,$U16,L$6:L$20)+SUMIF($N$78:$N$100,$U16,L$78:L$100))*$I$70*Poor!$B$68/$B$68)</f>
        <v>6652.8000000000011</v>
      </c>
      <c r="T16" s="226">
        <f>IF($B$68=0,0,(SUMIF($N$6:$N$20,$U16,M$6:M$20)+SUMIF($N$78:$N$100,$U16,M$78:M$100))*$I$70*Poor!$B$68/$B$68)</f>
        <v>7983.3600000000006</v>
      </c>
      <c r="U16" s="227">
        <v>10</v>
      </c>
      <c r="V16" s="56"/>
      <c r="W16" s="109"/>
      <c r="X16" s="117"/>
      <c r="Y16" s="184">
        <f t="shared" si="9"/>
        <v>0</v>
      </c>
      <c r="Z16" s="155">
        <f>Poor!Z16</f>
        <v>0</v>
      </c>
      <c r="AA16" s="120">
        <f t="shared" si="16"/>
        <v>0</v>
      </c>
      <c r="AB16" s="155">
        <f>Poor!AB16</f>
        <v>0</v>
      </c>
      <c r="AC16" s="120">
        <f t="shared" si="7"/>
        <v>0</v>
      </c>
      <c r="AD16" s="155">
        <f>Poor!AD16</f>
        <v>0</v>
      </c>
      <c r="AE16" s="120">
        <f t="shared" si="8"/>
        <v>0</v>
      </c>
      <c r="AF16" s="121">
        <f t="shared" si="10"/>
        <v>1</v>
      </c>
      <c r="AG16" s="120">
        <f t="shared" si="11"/>
        <v>0</v>
      </c>
      <c r="AH16" s="122">
        <f t="shared" si="12"/>
        <v>1</v>
      </c>
      <c r="AI16" s="184">
        <f t="shared" si="13"/>
        <v>0</v>
      </c>
      <c r="AJ16" s="119">
        <f t="shared" si="14"/>
        <v>0</v>
      </c>
      <c r="AK16" s="118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6">
        <f>IF([1]Summ!C1055="",0,[1]Summ!C1055)</f>
        <v>0</v>
      </c>
      <c r="C17" s="216">
        <f>IF([1]Summ!D1055="",0,[1]Summ!D1055)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>IF(I$24&lt;=1+I113,I17,B17*H17+J$25*(I17-B17*H17))</f>
        <v>0</v>
      </c>
      <c r="K17" s="22">
        <f t="shared" si="4"/>
        <v>0</v>
      </c>
      <c r="L17" s="22">
        <f t="shared" si="5"/>
        <v>0</v>
      </c>
      <c r="M17" s="229">
        <f t="shared" si="6"/>
        <v>0</v>
      </c>
      <c r="N17" s="233"/>
      <c r="O17" s="2"/>
      <c r="P17" s="22"/>
      <c r="Q17" s="125" t="s">
        <v>126</v>
      </c>
      <c r="R17" s="226">
        <f>IF($B$68=0,0,(SUMIF($N$6:$N$20,$U17,K$6:K$20)+SUMIF($N$78:$N$100,$U17,K$78:K$100))*$I$70*Poor!$B$68/$B$68)</f>
        <v>0</v>
      </c>
      <c r="S17" s="226">
        <f>IF($B$68=0,0,(SUMIF($N$6:$N$20,$U17,L$6:L$20)+SUMIF($N$78:$N$100,$U17,L$78:L$100))*$I$70*Poor!$B$68/$B$68)</f>
        <v>0</v>
      </c>
      <c r="T17" s="226">
        <f>IF($B$68=0,0,(SUMIF($N$6:$N$20,$U17,M$6:M$20)+SUMIF($N$78:$N$100,$U17,M$78:M$100))*$I$70*Poor!$B$68/$B$68)</f>
        <v>0</v>
      </c>
      <c r="U17" s="227">
        <v>11</v>
      </c>
      <c r="V17" s="56"/>
      <c r="W17" s="109"/>
      <c r="X17" s="117"/>
      <c r="Y17" s="184">
        <f t="shared" si="9"/>
        <v>0</v>
      </c>
      <c r="Z17" s="155">
        <f>Poor!Z17</f>
        <v>0.29409999999999997</v>
      </c>
      <c r="AA17" s="120">
        <f t="shared" si="16"/>
        <v>0</v>
      </c>
      <c r="AB17" s="155">
        <f>Poor!AB17</f>
        <v>0.17649999999999999</v>
      </c>
      <c r="AC17" s="120">
        <f t="shared" si="7"/>
        <v>0</v>
      </c>
      <c r="AD17" s="155">
        <f>Poor!AD17</f>
        <v>0.23530000000000001</v>
      </c>
      <c r="AE17" s="120">
        <f t="shared" si="8"/>
        <v>0</v>
      </c>
      <c r="AF17" s="121">
        <f t="shared" si="10"/>
        <v>0.29410000000000003</v>
      </c>
      <c r="AG17" s="120">
        <f t="shared" si="11"/>
        <v>0</v>
      </c>
      <c r="AH17" s="122">
        <f t="shared" si="12"/>
        <v>1</v>
      </c>
      <c r="AI17" s="184">
        <f t="shared" si="13"/>
        <v>0</v>
      </c>
      <c r="AJ17" s="119">
        <f t="shared" si="14"/>
        <v>0</v>
      </c>
      <c r="AK17" s="118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Food aid</v>
      </c>
      <c r="B18" s="216">
        <f>IF([1]Summ!C1056="",0,[1]Summ!C1056)</f>
        <v>9.5238095238095233E-2</v>
      </c>
      <c r="C18" s="216">
        <f>IF([1]Summ!D1056="",0,[1]Summ!D1056)</f>
        <v>0</v>
      </c>
      <c r="D18" s="24">
        <f t="shared" si="0"/>
        <v>9.5238095238095233E-2</v>
      </c>
      <c r="E18" s="75">
        <f>Poor!E18</f>
        <v>1</v>
      </c>
      <c r="F18" s="22"/>
      <c r="H18" s="24">
        <f t="shared" si="1"/>
        <v>1</v>
      </c>
      <c r="I18" s="22">
        <f t="shared" si="2"/>
        <v>9.5238095238095233E-2</v>
      </c>
      <c r="J18" s="24">
        <f>IF(I$24&lt;=1+I113,I18,B18*H18+J$25*(I18-B18*H18))</f>
        <v>9.5238095238095233E-2</v>
      </c>
      <c r="K18" s="22">
        <f t="shared" si="4"/>
        <v>9.5238095238095233E-2</v>
      </c>
      <c r="L18" s="22">
        <f t="shared" si="5"/>
        <v>9.5238095238095233E-2</v>
      </c>
      <c r="M18" s="228">
        <f t="shared" si="6"/>
        <v>9.5238095238095233E-2</v>
      </c>
      <c r="N18" s="233"/>
      <c r="O18" s="2"/>
      <c r="P18" s="22"/>
      <c r="Q18" s="59" t="s">
        <v>80</v>
      </c>
      <c r="R18" s="226">
        <f>IF($B$68=0,0,(SUMIF($N$6:$N$20,$U18,K$6:K$20)+SUMIF($N$78:$N$100,$U18,K$78:K$100))*$I$70*Poor!$B$68/$B$68)</f>
        <v>0</v>
      </c>
      <c r="S18" s="226">
        <f>IF($B$68=0,0,(SUMIF($N$6:$N$20,$U18,L$6:L$20)+SUMIF($N$78:$N$100,$U18,L$78:L$100))*$I$70*Poor!$B$68/$B$68)</f>
        <v>0</v>
      </c>
      <c r="T18" s="226">
        <f>IF($B$68=0,0,(SUMIF($N$6:$N$20,$U18,M$6:M$20)+SUMIF($N$78:$N$100,$U18,M$78:M$100))*$I$70*Poor!$B$68/$B$68)</f>
        <v>0</v>
      </c>
      <c r="U18" s="227">
        <v>12</v>
      </c>
      <c r="V18" s="56"/>
      <c r="W18" s="109"/>
      <c r="X18" s="117"/>
      <c r="Y18" s="184">
        <f t="shared" si="9"/>
        <v>0.38095238095238093</v>
      </c>
      <c r="Z18" s="155">
        <f>Poor!Z18</f>
        <v>0.25</v>
      </c>
      <c r="AA18" s="120">
        <f t="shared" si="16"/>
        <v>9.5238095238095233E-2</v>
      </c>
      <c r="AB18" s="155">
        <f>Poor!AB18</f>
        <v>0.25</v>
      </c>
      <c r="AC18" s="120">
        <f t="shared" si="7"/>
        <v>9.5238095238095233E-2</v>
      </c>
      <c r="AD18" s="155">
        <f>Poor!AD18</f>
        <v>0.25</v>
      </c>
      <c r="AE18" s="120">
        <f t="shared" si="8"/>
        <v>9.5238095238095233E-2</v>
      </c>
      <c r="AF18" s="121">
        <f t="shared" si="10"/>
        <v>0.25</v>
      </c>
      <c r="AG18" s="120">
        <f t="shared" si="11"/>
        <v>9.5238095238095233E-2</v>
      </c>
      <c r="AH18" s="122">
        <f t="shared" si="12"/>
        <v>1</v>
      </c>
      <c r="AI18" s="184">
        <f t="shared" si="13"/>
        <v>9.5238095238095233E-2</v>
      </c>
      <c r="AJ18" s="119">
        <f t="shared" si="14"/>
        <v>9.5238095238095233E-2</v>
      </c>
      <c r="AK18" s="118">
        <f t="shared" si="15"/>
        <v>9.5238095238095233E-2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Purchase - other</v>
      </c>
      <c r="B19" s="216">
        <f>IF([1]Summ!C1057="",0,[1]Summ!C1057)</f>
        <v>0</v>
      </c>
      <c r="C19" s="216">
        <f>IF([1]Summ!D1057="",0,[1]Summ!D1057)</f>
        <v>0</v>
      </c>
      <c r="D19" s="24">
        <f t="shared" si="0"/>
        <v>0</v>
      </c>
      <c r="E19" s="75">
        <f>Poor!E19</f>
        <v>1</v>
      </c>
      <c r="F19" s="22"/>
      <c r="H19" s="24">
        <f t="shared" si="1"/>
        <v>1</v>
      </c>
      <c r="I19" s="29">
        <f t="shared" si="2"/>
        <v>0</v>
      </c>
      <c r="J19" s="97">
        <f>IF(I$24&lt;=1+I113,I19,B19*H19+J$25*(I19-B19*H19))</f>
        <v>0</v>
      </c>
      <c r="K19" s="22">
        <f t="shared" si="4"/>
        <v>0</v>
      </c>
      <c r="L19" s="22">
        <f t="shared" si="5"/>
        <v>0</v>
      </c>
      <c r="M19" s="230">
        <f t="shared" si="6"/>
        <v>0</v>
      </c>
      <c r="N19" s="233"/>
      <c r="O19" s="2"/>
      <c r="P19" s="22"/>
      <c r="Q19" s="59" t="s">
        <v>81</v>
      </c>
      <c r="R19" s="226">
        <f>IF($B$68=0,0,(SUMIF($N$6:$N$20,$U19,K$6:K$20)+SUMIF($N$78:$N$100,$U19,K$78:K$100))*$I$70*Poor!$B$68/$B$68)</f>
        <v>0</v>
      </c>
      <c r="S19" s="226">
        <f>IF($B$68=0,0,(SUMIF($N$6:$N$20,$U19,L$6:L$20)+SUMIF($N$78:$N$100,$U19,L$78:L$100))*$I$70*Poor!$B$68/$B$68)</f>
        <v>0</v>
      </c>
      <c r="T19" s="226">
        <f>IF($B$68=0,0,(SUMIF($N$6:$N$20,$U19,M$6:M$20)+SUMIF($N$78:$N$100,$U19,M$78:M$100))*$I$70*Poor!$B$68/$B$68)</f>
        <v>0</v>
      </c>
      <c r="U19" s="227">
        <v>13</v>
      </c>
      <c r="V19" s="56"/>
      <c r="W19" s="109"/>
      <c r="X19" s="117"/>
      <c r="Y19" s="184">
        <f t="shared" si="9"/>
        <v>0</v>
      </c>
      <c r="Z19" s="155">
        <f>Poor!Z19</f>
        <v>0.25</v>
      </c>
      <c r="AA19" s="120">
        <f t="shared" si="16"/>
        <v>0</v>
      </c>
      <c r="AB19" s="155">
        <f>Poor!AB19</f>
        <v>0.25</v>
      </c>
      <c r="AC19" s="120">
        <f t="shared" si="7"/>
        <v>0</v>
      </c>
      <c r="AD19" s="155">
        <f>Poor!AD19</f>
        <v>0.25</v>
      </c>
      <c r="AE19" s="120">
        <f t="shared" si="8"/>
        <v>0</v>
      </c>
      <c r="AF19" s="121">
        <f t="shared" si="10"/>
        <v>0.25</v>
      </c>
      <c r="AG19" s="120">
        <f t="shared" si="11"/>
        <v>0</v>
      </c>
      <c r="AH19" s="122">
        <f t="shared" si="12"/>
        <v>1</v>
      </c>
      <c r="AI19" s="184">
        <f t="shared" si="13"/>
        <v>0</v>
      </c>
      <c r="AJ19" s="119">
        <f t="shared" si="14"/>
        <v>0</v>
      </c>
      <c r="AK19" s="118">
        <f t="shared" si="15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Purchase - desirable</v>
      </c>
      <c r="B20" s="216">
        <f>IF([1]Summ!C1058="",0,[1]Summ!C1058)</f>
        <v>0</v>
      </c>
      <c r="C20" s="216">
        <f>IF([1]Summ!D1058="",0,[1]Summ!D1058)</f>
        <v>0</v>
      </c>
      <c r="D20" s="24">
        <f t="shared" si="0"/>
        <v>0</v>
      </c>
      <c r="E20" s="75">
        <f>Poor!E20</f>
        <v>1</v>
      </c>
      <c r="F20" s="22"/>
      <c r="H20" s="24">
        <f t="shared" si="1"/>
        <v>1</v>
      </c>
      <c r="I20" s="29">
        <f t="shared" si="2"/>
        <v>0</v>
      </c>
      <c r="J20" s="97">
        <f>IF(I$24&lt;=1+I113,I20,B20*H20+J$25*(I20-B20*H20))</f>
        <v>0</v>
      </c>
      <c r="K20" s="22">
        <f t="shared" si="4"/>
        <v>0</v>
      </c>
      <c r="L20" s="22">
        <f t="shared" si="5"/>
        <v>0</v>
      </c>
      <c r="M20" s="228">
        <f t="shared" si="6"/>
        <v>0</v>
      </c>
      <c r="N20" s="233">
        <v>12</v>
      </c>
      <c r="O20" s="2"/>
      <c r="P20" s="22"/>
      <c r="Q20" s="59" t="s">
        <v>82</v>
      </c>
      <c r="R20" s="226">
        <f>IF($B$68=0,0,(SUMIF($N$6:$N$20,$U20,K$6:K$20)+SUMIF($N$78:$N$100,$U20,K$78:K$100))*$I$70*Poor!$B$68/$B$68)</f>
        <v>22976.775588491721</v>
      </c>
      <c r="S20" s="226">
        <f>IF($B$68=0,0,(SUMIF($N$6:$N$20,$U20,L$6:L$20)+SUMIF($N$78:$N$100,$U20,L$78:L$100))*$I$70*Poor!$B$68/$B$68)</f>
        <v>22771.625806451619</v>
      </c>
      <c r="T20" s="226">
        <f>IF($B$68=0,0,(SUMIF($N$6:$N$20,$U20,M$6:M$20)+SUMIF($N$78:$N$100,$U20,M$78:M$100))*$I$70*Poor!$B$68/$B$68)</f>
        <v>22771.625806451619</v>
      </c>
      <c r="U20" s="227">
        <v>14</v>
      </c>
      <c r="V20" s="56"/>
      <c r="W20" s="109"/>
      <c r="X20" s="117"/>
      <c r="Y20" s="184">
        <f t="shared" si="9"/>
        <v>0</v>
      </c>
      <c r="Z20" s="155">
        <f>Poor!Z20</f>
        <v>0</v>
      </c>
      <c r="AA20" s="120">
        <f t="shared" si="16"/>
        <v>0</v>
      </c>
      <c r="AB20" s="155">
        <f>Poor!AB20</f>
        <v>0</v>
      </c>
      <c r="AC20" s="120">
        <f t="shared" si="7"/>
        <v>0</v>
      </c>
      <c r="AD20" s="155">
        <f>Poor!AD20</f>
        <v>0.5</v>
      </c>
      <c r="AE20" s="120">
        <f t="shared" si="8"/>
        <v>0</v>
      </c>
      <c r="AF20" s="121">
        <f t="shared" si="10"/>
        <v>0.5</v>
      </c>
      <c r="AG20" s="120">
        <f t="shared" si="11"/>
        <v>0</v>
      </c>
      <c r="AH20" s="122">
        <f t="shared" si="12"/>
        <v>1</v>
      </c>
      <c r="AI20" s="184">
        <f t="shared" si="13"/>
        <v>0</v>
      </c>
      <c r="AJ20" s="119">
        <f t="shared" si="14"/>
        <v>0</v>
      </c>
      <c r="AK20" s="118">
        <f t="shared" si="15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Purchase - fpl non staple</v>
      </c>
      <c r="B21" s="216">
        <f>IF([1]Summ!C1059="",0,[1]Summ!C1059)</f>
        <v>0.11754351183063511</v>
      </c>
      <c r="C21" s="216">
        <f>IF([1]Summ!D1059="",0,[1]Summ!D1059)</f>
        <v>0.29424558415767643</v>
      </c>
      <c r="D21" s="24">
        <f>(B21+C21)</f>
        <v>0.41178909598831154</v>
      </c>
      <c r="E21" s="75">
        <f>Poor!E21</f>
        <v>1</v>
      </c>
      <c r="F21" s="22"/>
      <c r="H21" s="24">
        <f t="shared" si="1"/>
        <v>1</v>
      </c>
      <c r="I21" s="29">
        <f t="shared" si="2"/>
        <v>0.41178909598831154</v>
      </c>
      <c r="J21" s="97">
        <f>IF(I$24&lt;=1+I113,I21,B21*H21+J$25*(I21-B21*H21))</f>
        <v>0.41178909598831154</v>
      </c>
      <c r="K21" s="22">
        <f t="shared" si="4"/>
        <v>0.11754351183063511</v>
      </c>
      <c r="L21" s="22">
        <f t="shared" si="5"/>
        <v>0.11754351183063511</v>
      </c>
      <c r="M21" s="228">
        <f t="shared" si="6"/>
        <v>0.41178909598831154</v>
      </c>
      <c r="N21" s="233"/>
      <c r="P21" s="22"/>
      <c r="Q21" s="59" t="s">
        <v>83</v>
      </c>
      <c r="R21" s="226">
        <f>IF($B$68=0,0,(SUMIF($N$6:$N$20,$U21,K$6:K$20)+SUMIF($N$78:$N$100,$U21,K$78:K$100))*$I$70*Poor!$B$68/$B$68)</f>
        <v>0</v>
      </c>
      <c r="S21" s="226">
        <f>IF($B$68=0,0,(SUMIF($N$6:$N$20,$U21,L$6:L$20)+SUMIF($N$78:$N$100,$U21,L$78:L$100))*$I$70*Poor!$B$68/$B$68)</f>
        <v>0</v>
      </c>
      <c r="T21" s="226">
        <f>IF($B$68=0,0,(SUMIF($N$6:$N$20,$U21,M$6:M$20)+SUMIF($N$78:$N$100,$U21,M$78:M$100))*$I$70*Poor!$B$68/$B$68)</f>
        <v>0</v>
      </c>
      <c r="U21" s="227">
        <v>15</v>
      </c>
      <c r="V21" s="56"/>
      <c r="W21" s="109"/>
      <c r="X21" s="117"/>
      <c r="Y21" s="184">
        <f t="shared" si="9"/>
        <v>1.6471563839532462</v>
      </c>
      <c r="Z21" s="155">
        <f>Poor!Z21</f>
        <v>0.25</v>
      </c>
      <c r="AA21" s="120">
        <f t="shared" si="16"/>
        <v>0.41178909598831154</v>
      </c>
      <c r="AB21" s="155">
        <f>Poor!AB21</f>
        <v>0.25</v>
      </c>
      <c r="AC21" s="120">
        <f t="shared" si="7"/>
        <v>0.41178909598831154</v>
      </c>
      <c r="AD21" s="155">
        <f>Poor!AD21</f>
        <v>0.25</v>
      </c>
      <c r="AE21" s="120">
        <f t="shared" si="8"/>
        <v>0.41178909598831154</v>
      </c>
      <c r="AF21" s="121">
        <f t="shared" si="10"/>
        <v>0.25</v>
      </c>
      <c r="AG21" s="120">
        <f t="shared" si="11"/>
        <v>0.41178909598831154</v>
      </c>
      <c r="AH21" s="122">
        <f t="shared" si="12"/>
        <v>1</v>
      </c>
      <c r="AI21" s="184">
        <f t="shared" si="13"/>
        <v>0.41178909598831154</v>
      </c>
      <c r="AJ21" s="119">
        <f t="shared" si="14"/>
        <v>0.41178909598831154</v>
      </c>
      <c r="AK21" s="118">
        <f t="shared" si="15"/>
        <v>0.41178909598831154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 thickBot="1">
      <c r="A22" s="94" t="s">
        <v>57</v>
      </c>
      <c r="B22" s="216">
        <f>IF([1]Summ!C1060="",0,[1]Summ!C1060)</f>
        <v>0.92868750784557907</v>
      </c>
      <c r="C22" s="102"/>
      <c r="D22" s="24">
        <f>(D101-B106)</f>
        <v>3.2548128940358363</v>
      </c>
      <c r="E22" s="75">
        <f>Poor!E22</f>
        <v>1</v>
      </c>
      <c r="H22" s="97">
        <f>(E22*F$7/F$9)</f>
        <v>1</v>
      </c>
      <c r="I22" s="29">
        <f>IF(E22&gt;=1,I101-SUM(I106,I107),MIN(I101-SUM(I106,I107),B22*H22))</f>
        <v>1.3433160885711377</v>
      </c>
      <c r="J22" s="243">
        <f>IF(I$24&lt;=$B$24,I22,$B$24-SUM(J6:J21))</f>
        <v>0.61044192368790262</v>
      </c>
      <c r="K22" s="22">
        <f t="shared" si="4"/>
        <v>0.92868750784557907</v>
      </c>
      <c r="L22" s="22">
        <f>IF(L106=L101,0,IF(K22="",0,(L101-L106)/(B101-B106)*K22))</f>
        <v>0.87306832748828289</v>
      </c>
      <c r="M22" s="174">
        <f t="shared" si="6"/>
        <v>0.61044192368790262</v>
      </c>
      <c r="N22" s="165" t="s">
        <v>87</v>
      </c>
      <c r="O22" s="2"/>
      <c r="P22" s="22"/>
      <c r="Q22" s="59" t="s">
        <v>84</v>
      </c>
      <c r="R22" s="226">
        <f>IF($B$68=0,0,(SUMIF($N$6:$N$20,$U22,K$6:K$20)+SUMIF($N$78:$N$100,$U22,K$78:K$100))*$I$70*Poor!$B$68/$B$68)</f>
        <v>0</v>
      </c>
      <c r="S22" s="226">
        <f>IF($B$68=0,0,(SUMIF($N$6:$N$20,$U22,L$6:L$20)+SUMIF($N$78:$N$100,$U22,L$78:L$100))*$I$70*Poor!$B$68/$B$68)</f>
        <v>0</v>
      </c>
      <c r="T22" s="226">
        <f>IF($B$68=0,0,(SUMIF($N$6:$N$20,$U22,M$6:M$20)+SUMIF($N$78:$N$100,$U22,M$78:M$100))*$I$70*Poor!$B$68/$B$68)</f>
        <v>0</v>
      </c>
      <c r="U22" s="227">
        <v>16</v>
      </c>
      <c r="V22" s="56"/>
      <c r="W22" s="109"/>
      <c r="X22" s="117"/>
      <c r="Y22" s="184">
        <f>M22*4</f>
        <v>2.4417676947516105</v>
      </c>
      <c r="Z22" s="121">
        <f>IF($Y22=0,0,AA22/($Y$22))</f>
        <v>0.12807030138921371</v>
      </c>
      <c r="AA22" s="188">
        <f>IF(AA66*4/$I$70+SUM(AA6:AA21)&lt;1,AA66*4/$I$70,1-SUM(AA6:AA21))</f>
        <v>0.31271792458928438</v>
      </c>
      <c r="AB22" s="121">
        <f>IF($Y22=0,0,AC22/($Y$22))</f>
        <v>0.16257599346033422</v>
      </c>
      <c r="AC22" s="188">
        <f>IF(AC66*4/$I$70+SUM(AC6:AC21)&lt;1,AC66*4/$I$70,1-SUM(AC6:AC21))</f>
        <v>0.3969728087735932</v>
      </c>
      <c r="AD22" s="121">
        <f>IF($Y22=0,0,AE22/($Y$22))</f>
        <v>0.20189177284686002</v>
      </c>
      <c r="AE22" s="188">
        <f>IF(AE66*4/$I$70+SUM(AE6:AE21)&lt;1,AE66*4/$I$70,1-SUM(AE6:AE21))</f>
        <v>0.49297280877359317</v>
      </c>
      <c r="AF22" s="121">
        <f>IF($Y22=0,0,AG22/($Y$22))</f>
        <v>0.20189177284686002</v>
      </c>
      <c r="AG22" s="188">
        <f>IF(AG66*4/$I$70+SUM(AG6:AG21)&lt;1,AG66*4/$I$70,1-SUM(AG6:AG21))</f>
        <v>0.49297280877359317</v>
      </c>
      <c r="AH22" s="122">
        <f t="shared" si="12"/>
        <v>0.69442984054326795</v>
      </c>
      <c r="AI22" s="184">
        <f t="shared" si="13"/>
        <v>0.42390908772751595</v>
      </c>
      <c r="AJ22" s="119">
        <f t="shared" si="14"/>
        <v>0.35484536668143879</v>
      </c>
      <c r="AK22" s="118">
        <f t="shared" si="15"/>
        <v>0.49297280877359317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95" t="s">
        <v>58</v>
      </c>
      <c r="B23" s="216" t="str">
        <f>IF(1-$B$24&gt;0,1-$B$24,"")</f>
        <v/>
      </c>
      <c r="C23" s="77"/>
      <c r="D23" s="24"/>
      <c r="E23" s="22"/>
      <c r="F23" s="22"/>
      <c r="H23" s="24"/>
      <c r="I23" s="29"/>
      <c r="J23" s="244">
        <f>($B$24-SUM(J6:J22))</f>
        <v>0</v>
      </c>
      <c r="K23" s="22" t="str">
        <f t="shared" si="4"/>
        <v/>
      </c>
      <c r="L23" s="22">
        <f>(1-SUM(L6:L22))</f>
        <v>-0.13091365560309054</v>
      </c>
      <c r="M23" s="177">
        <f t="shared" si="6"/>
        <v>0</v>
      </c>
      <c r="N23" s="166">
        <f>M23*I70</f>
        <v>0</v>
      </c>
      <c r="P23" s="22"/>
      <c r="Q23" s="170" t="s">
        <v>101</v>
      </c>
      <c r="R23" s="179">
        <f>SUM(R7:R22)</f>
        <v>39953.728283322678</v>
      </c>
      <c r="S23" s="179">
        <f>SUM(S7:S22)</f>
        <v>38907.663501282572</v>
      </c>
      <c r="T23" s="179">
        <f>SUM(T7:T22)</f>
        <v>41141.938127677451</v>
      </c>
      <c r="U23" s="242" t="s">
        <v>140</v>
      </c>
      <c r="V23" s="56"/>
      <c r="W23" s="128" t="s">
        <v>85</v>
      </c>
      <c r="X23" s="129"/>
      <c r="Y23" s="120">
        <f>M23*4</f>
        <v>0</v>
      </c>
      <c r="Z23" s="130"/>
      <c r="AA23" s="131">
        <f>1-AA24+IF($Y24&lt;0,$Y24/4,0)</f>
        <v>0</v>
      </c>
      <c r="AB23" s="130"/>
      <c r="AC23" s="132">
        <f>1-AC24+IF($Y24&lt;0,$Y24/4,0)</f>
        <v>0</v>
      </c>
      <c r="AD23" s="133"/>
      <c r="AE23" s="132">
        <f>1-AE24+IF($Y24&lt;0,$Y24/4,0)</f>
        <v>0</v>
      </c>
      <c r="AF23" s="133"/>
      <c r="AG23" s="132">
        <f>1-AG24+IF($Y24&lt;0,$Y24/4,0)</f>
        <v>0</v>
      </c>
      <c r="AH23" s="122"/>
      <c r="AI23" s="183">
        <f>SUM(AA23,AC23,AE23,AG23)/4</f>
        <v>0</v>
      </c>
      <c r="AJ23" s="134">
        <f t="shared" si="14"/>
        <v>0</v>
      </c>
      <c r="AK23" s="135">
        <f t="shared" si="15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>
      <c r="A24" s="22" t="s">
        <v>24</v>
      </c>
      <c r="B24" s="222">
        <f>SUM(B6:B22)</f>
        <v>1.1865328359603866</v>
      </c>
      <c r="C24" s="77">
        <f>SUM(C6:C23)</f>
        <v>0.32424558415767646</v>
      </c>
      <c r="D24" s="24">
        <f>SUM(D6:D22)</f>
        <v>3.8369038063083201</v>
      </c>
      <c r="E24" s="2"/>
      <c r="F24" s="2"/>
      <c r="H24" s="17"/>
      <c r="I24" s="22">
        <f>SUM(I6:I22)</f>
        <v>1.9194070008436217</v>
      </c>
      <c r="J24" s="17"/>
      <c r="L24" s="22">
        <f>SUM(L6:L22)</f>
        <v>1.1309136556030905</v>
      </c>
      <c r="M24" s="23"/>
      <c r="N24" s="56"/>
      <c r="O24" s="2"/>
      <c r="P24" s="22"/>
      <c r="Q24" s="59" t="s">
        <v>136</v>
      </c>
      <c r="R24" s="41">
        <f>IF($B$68=0,0,($B$106*$H$106)+1-($D$21*$H$21)-($D$20*$H$20))*$I$70*Poor!$B$68/$B$68</f>
        <v>21863.869686861162</v>
      </c>
      <c r="S24" s="41">
        <f>IF($B$68=0,0,($B$106*($H$106)+1-($D$21*$H$21)-($D$20*$H$20))*$I$70*Poor!$B$68/$B$68)</f>
        <v>21863.869686861162</v>
      </c>
      <c r="T24" s="41">
        <f>IF($B$68=0,0,($B$106*($H$106)+1-($D$21*$H$21)-($D$20*$H$20))*$I$70*Poor!$B$68/$B$68)</f>
        <v>21863.869686861162</v>
      </c>
      <c r="U24" s="240">
        <f>T24/Poor!$B$68/12</f>
        <v>303.66485676196061</v>
      </c>
      <c r="V24" s="56"/>
      <c r="W24" s="109"/>
      <c r="X24" s="117"/>
      <c r="Y24" s="114">
        <f>SUM(Y6:Y23)</f>
        <v>4.7461313438415464</v>
      </c>
      <c r="Z24" s="136"/>
      <c r="AA24" s="137">
        <f>SUM(AA6:AA22)</f>
        <v>1</v>
      </c>
      <c r="AB24" s="136"/>
      <c r="AC24" s="138">
        <f>SUM(AC6:AC22)</f>
        <v>1</v>
      </c>
      <c r="AD24" s="136"/>
      <c r="AE24" s="138">
        <f>SUM(AE6:AE22)</f>
        <v>1</v>
      </c>
      <c r="AF24" s="136"/>
      <c r="AG24" s="138">
        <f>SUM(AG6:AG22)</f>
        <v>1</v>
      </c>
      <c r="AH24" s="126"/>
      <c r="AI24" s="109"/>
      <c r="AJ24" s="139">
        <f>SUM(AJ6:AJ23)</f>
        <v>1</v>
      </c>
      <c r="AK24" s="140">
        <f>SUM(AK6:AK23)</f>
        <v>1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</row>
    <row r="25" spans="1:89" ht="14" customHeight="1" thickBot="1">
      <c r="A25" s="11"/>
      <c r="B25" s="11"/>
      <c r="C25" s="11"/>
      <c r="D25" s="10"/>
      <c r="E25" s="11"/>
      <c r="F25" s="11"/>
      <c r="G25" s="11"/>
      <c r="H25" s="10"/>
      <c r="I25" s="235" t="s">
        <v>25</v>
      </c>
      <c r="J25" s="236">
        <f>(1+K107*H107-L24-L107)/(I24-L24-L107)</f>
        <v>0.14453230317558161</v>
      </c>
      <c r="K25" s="14"/>
      <c r="L25" s="11"/>
      <c r="M25" s="30"/>
      <c r="N25" s="167" t="s">
        <v>88</v>
      </c>
      <c r="O25" s="2"/>
      <c r="P25" s="2"/>
      <c r="Q25" s="141" t="s">
        <v>137</v>
      </c>
      <c r="R25" s="41">
        <f>IF($B$68=0,0,($B$57+$B$58+((1-$D$21)*$B$70))*$H$71*Poor!$B$68/$B$68)</f>
        <v>35134.825989516008</v>
      </c>
      <c r="S25" s="41">
        <f>IF($B$68=0,0,(($B$57*$H$57)+($B$58*$H$58)+((1-($D$21*$H$21))*$I$70))*Poor!$B$68/$B$68)</f>
        <v>34833.109686861164</v>
      </c>
      <c r="T25" s="41">
        <f>IF($B$68=0,0,(($B$57*$H$57)+($B$58*$H$58)+((1-($D$21*$H$21))*$I$70))*Poor!$B$68/$B$68)</f>
        <v>34833.109686861164</v>
      </c>
      <c r="U25" s="240">
        <f>T25/Poor!$B$68/12</f>
        <v>483.79319009529394</v>
      </c>
      <c r="V25" s="56"/>
      <c r="W25" s="109"/>
      <c r="X25" s="117"/>
      <c r="Y25" s="109"/>
      <c r="Z25" s="142"/>
      <c r="AA25" s="143"/>
      <c r="AB25" s="142"/>
      <c r="AC25" s="143"/>
      <c r="AD25" s="142"/>
      <c r="AE25" s="143"/>
      <c r="AF25" s="142"/>
      <c r="AG25" s="143"/>
      <c r="AH25" s="109"/>
      <c r="AI25" s="109"/>
      <c r="AJ25" s="142"/>
      <c r="AK25" s="143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</row>
    <row r="26" spans="1:89" ht="15.75" customHeight="1" thickBot="1">
      <c r="A26" s="73" t="s">
        <v>54</v>
      </c>
      <c r="B26" s="2"/>
      <c r="C26" s="2"/>
      <c r="D26" s="31"/>
      <c r="E26" s="32"/>
      <c r="F26" s="32"/>
      <c r="G26" s="32"/>
      <c r="H26" s="31"/>
      <c r="I26" s="2"/>
      <c r="J26" s="33"/>
      <c r="K26" s="34" t="s">
        <v>27</v>
      </c>
      <c r="L26" s="35"/>
      <c r="M26" s="36"/>
      <c r="N26" s="168">
        <f>-(M64*B63)</f>
        <v>14983.110298750758</v>
      </c>
      <c r="O26" s="2"/>
      <c r="P26" s="2"/>
      <c r="Q26" s="59" t="s">
        <v>138</v>
      </c>
      <c r="R26" s="41">
        <f>IF($B$68=0,0,($B$57+$B$58+$B$59+((1-$D$21)*$B$70))*$H$71*Poor!$B$68/$B$68)</f>
        <v>58769.031633614097</v>
      </c>
      <c r="S26" s="41">
        <f>IF($B$68=0,0,(($B$57*$H$57)+($B$58*$H$58)+($B$59*$H$59)+((1-($D$21*$H$21))*$I$70))*Poor!$B$68/$B$68)</f>
        <v>57929.989686861169</v>
      </c>
      <c r="T26" s="41">
        <f>IF($B$68=0,0,(($B$57*$H$57)+($B$58*$H$58)+($B$59*$H$59)+((1-($D$21*$H$21))*$I$70))*Poor!$B$68/$B$68)</f>
        <v>57929.989686861169</v>
      </c>
      <c r="U26" s="240">
        <f>T26/Poor!$B$68/12</f>
        <v>804.58319009529396</v>
      </c>
      <c r="V26" s="56"/>
      <c r="W26" s="109"/>
      <c r="X26" s="117"/>
      <c r="Y26" s="109"/>
      <c r="Z26" s="144"/>
      <c r="AA26" s="145"/>
      <c r="AB26" s="144"/>
      <c r="AC26" s="145"/>
      <c r="AD26" s="144"/>
      <c r="AE26" s="145"/>
      <c r="AF26" s="144"/>
      <c r="AG26" s="145"/>
      <c r="AH26" s="109"/>
      <c r="AI26" s="109"/>
      <c r="AJ26" s="144"/>
      <c r="AK26" s="145"/>
      <c r="AP26" s="25"/>
      <c r="AQ26" s="25"/>
      <c r="AR26" s="25"/>
      <c r="AS26" s="25"/>
      <c r="AT26" s="25"/>
      <c r="AU26" s="25"/>
      <c r="AW26" s="25"/>
      <c r="AX26" s="25"/>
      <c r="AY26" s="25"/>
      <c r="AZ26" s="25"/>
      <c r="BA26" s="25"/>
      <c r="BB26" s="25"/>
      <c r="BF26" s="25"/>
      <c r="BG26" s="25"/>
      <c r="BH26" s="25"/>
      <c r="BI26" s="25"/>
      <c r="BJ26" s="25"/>
      <c r="BK26" s="25"/>
      <c r="BM26" s="25"/>
      <c r="BN26" s="25"/>
      <c r="BO26" s="25"/>
      <c r="BP26" s="25"/>
      <c r="BQ26" s="25"/>
      <c r="BR26" s="25"/>
      <c r="BU26" s="25"/>
      <c r="BV26" s="25"/>
      <c r="BW26" s="25"/>
      <c r="BX26" s="25"/>
      <c r="BY26" s="25"/>
      <c r="BZ26" s="25"/>
      <c r="CB26" s="25"/>
      <c r="CC26" s="25"/>
      <c r="CD26" s="25"/>
      <c r="CE26" s="25"/>
      <c r="CF26" s="25"/>
      <c r="CG26" s="25"/>
    </row>
    <row r="27" spans="1:89" ht="14" customHeight="1">
      <c r="A27" s="2"/>
      <c r="B27" s="19" t="s">
        <v>7</v>
      </c>
      <c r="C27" s="19" t="s">
        <v>8</v>
      </c>
      <c r="D27" s="16" t="s">
        <v>9</v>
      </c>
      <c r="E27" s="19" t="s">
        <v>10</v>
      </c>
      <c r="F27" s="2" t="s">
        <v>28</v>
      </c>
      <c r="G27" s="2" t="s">
        <v>29</v>
      </c>
      <c r="H27" s="16" t="s">
        <v>12</v>
      </c>
      <c r="I27" s="19" t="s">
        <v>13</v>
      </c>
      <c r="J27" s="16" t="s">
        <v>14</v>
      </c>
      <c r="K27" s="37" t="s">
        <v>7</v>
      </c>
      <c r="L27" s="19" t="s">
        <v>15</v>
      </c>
      <c r="M27" s="16" t="s">
        <v>14</v>
      </c>
      <c r="N27" s="2"/>
      <c r="O27" s="2"/>
      <c r="Q27" s="125" t="s">
        <v>139</v>
      </c>
      <c r="R27" s="41">
        <f>IF($B$68=0,0,($B$57+$B$58+$B$59+$B$60+(1-$D$21-$D$20)*$B$70)*$H$71*Poor!$B$68/$B$68)</f>
        <v>59273.337059699232</v>
      </c>
      <c r="S27" s="41">
        <f>IF($B$68=0,0,(($B$57*$H$57)+($B$58*$H$58)+($B$59*$H$59)+($B$60*$H$60)+((1-($D$20*$H$20)-($D$21*$H$21))*$I$70))*Poor!$B$68/$B$68)</f>
        <v>58422.829686861158</v>
      </c>
      <c r="T27" s="41">
        <f>IF($B$68=0,0,(($B$57*$H$57)+($B$58*$H$58)+($B$59*$H$59)+($B$60*$H$60)+((1-($D$20*$H$20)-($D$21*$H$21))*$I$70))*Poor!$B$68/$B$68)</f>
        <v>58422.829686861158</v>
      </c>
      <c r="U27" s="241">
        <f>T27/Poor!$B$68/12</f>
        <v>811.42819009529387</v>
      </c>
      <c r="V27" s="56"/>
      <c r="W27" s="109"/>
      <c r="X27" s="117"/>
      <c r="Y27" s="109"/>
      <c r="Z27" s="144"/>
      <c r="AA27" s="145"/>
      <c r="AB27" s="144"/>
      <c r="AC27" s="145"/>
      <c r="AD27" s="144"/>
      <c r="AE27" s="145"/>
      <c r="AF27" s="144"/>
      <c r="AG27" s="145"/>
      <c r="AH27" s="109"/>
      <c r="AI27" s="109"/>
      <c r="AJ27" s="144"/>
      <c r="AK27" s="145"/>
      <c r="AP27" s="25"/>
      <c r="AQ27" s="25"/>
      <c r="AR27" s="25"/>
      <c r="AS27" s="25"/>
      <c r="AT27" s="25"/>
      <c r="AU27" s="25"/>
      <c r="AW27" s="25"/>
      <c r="AX27" s="25"/>
      <c r="AY27" s="25"/>
      <c r="AZ27" s="25"/>
      <c r="BA27" s="25"/>
      <c r="BB27" s="25"/>
      <c r="BF27" s="25"/>
      <c r="BG27" s="25"/>
      <c r="BH27" s="25"/>
      <c r="BI27" s="25"/>
      <c r="BJ27" s="25"/>
      <c r="BK27" s="25"/>
      <c r="BM27" s="25"/>
      <c r="BN27" s="25"/>
      <c r="BO27" s="25"/>
      <c r="BP27" s="25"/>
      <c r="BQ27" s="25"/>
      <c r="BR27" s="25"/>
      <c r="BU27" s="25"/>
      <c r="BV27" s="25"/>
      <c r="BW27" s="25"/>
      <c r="BX27" s="25"/>
      <c r="BY27" s="25"/>
      <c r="BZ27" s="25"/>
      <c r="CB27" s="25"/>
      <c r="CC27" s="25"/>
      <c r="CD27" s="25"/>
      <c r="CE27" s="25"/>
      <c r="CF27" s="25"/>
      <c r="CG27" s="25"/>
    </row>
    <row r="28" spans="1:89" ht="14" customHeight="1">
      <c r="A28" s="2" t="s">
        <v>30</v>
      </c>
      <c r="B28" s="19" t="s">
        <v>16</v>
      </c>
      <c r="C28" s="19" t="s">
        <v>17</v>
      </c>
      <c r="D28" s="16" t="s">
        <v>16</v>
      </c>
      <c r="E28" s="19" t="s">
        <v>18</v>
      </c>
      <c r="F28" s="2" t="s">
        <v>31</v>
      </c>
      <c r="G28" s="2" t="s">
        <v>31</v>
      </c>
      <c r="H28" s="16" t="s">
        <v>18</v>
      </c>
      <c r="I28" s="19" t="s">
        <v>16</v>
      </c>
      <c r="J28" s="16" t="s">
        <v>16</v>
      </c>
      <c r="K28" s="37" t="s">
        <v>16</v>
      </c>
      <c r="L28" s="19" t="s">
        <v>19</v>
      </c>
      <c r="M28" s="16" t="s">
        <v>16</v>
      </c>
      <c r="N28" s="2"/>
      <c r="O28" s="2"/>
      <c r="P28" s="2"/>
      <c r="U28" s="56"/>
      <c r="V28" s="56"/>
      <c r="W28" s="109"/>
      <c r="X28" s="117"/>
      <c r="Y28" s="109"/>
      <c r="Z28" s="144"/>
      <c r="AA28" s="145"/>
      <c r="AB28" s="144"/>
      <c r="AC28" s="145"/>
      <c r="AD28" s="144"/>
      <c r="AE28" s="145"/>
      <c r="AF28" s="144"/>
      <c r="AG28" s="145"/>
      <c r="AH28" s="109"/>
      <c r="AI28" s="109"/>
      <c r="AJ28" s="144"/>
      <c r="AK28" s="145"/>
      <c r="AP28" s="25"/>
      <c r="AQ28" s="25"/>
      <c r="AR28" s="25"/>
      <c r="AS28" s="25"/>
      <c r="AT28" s="25"/>
      <c r="AU28" s="25"/>
      <c r="AW28" s="25"/>
      <c r="AX28" s="25"/>
      <c r="AY28" s="25"/>
      <c r="AZ28" s="25"/>
      <c r="BA28" s="25"/>
      <c r="BB28" s="25"/>
      <c r="BF28" s="25"/>
      <c r="BG28" s="25"/>
      <c r="BH28" s="25"/>
      <c r="BI28" s="25"/>
      <c r="BJ28" s="25"/>
      <c r="BK28" s="25"/>
      <c r="BM28" s="25"/>
      <c r="BN28" s="25"/>
      <c r="BO28" s="25"/>
      <c r="BP28" s="25"/>
      <c r="BQ28" s="25"/>
      <c r="BR28" s="25"/>
      <c r="BU28" s="25"/>
      <c r="BV28" s="25"/>
      <c r="BW28" s="25"/>
      <c r="BX28" s="25"/>
      <c r="BY28" s="25"/>
      <c r="BZ28" s="25"/>
      <c r="CB28" s="25"/>
      <c r="CC28" s="25"/>
      <c r="CD28" s="25"/>
      <c r="CE28" s="25"/>
      <c r="CF28" s="25"/>
      <c r="CG28" s="25"/>
    </row>
    <row r="29" spans="1:89" ht="14" customHeight="1">
      <c r="A29" s="86" t="str">
        <f>IF(Poor!A29=0,"",Poor!A29)</f>
        <v>Cattle sales - local: no. sold</v>
      </c>
      <c r="B29" s="217">
        <f>IF([1]Summ!C1064="",0,[1]Summ!C1064)</f>
        <v>0</v>
      </c>
      <c r="C29" s="217">
        <f>IF([1]Summ!D1064="",0,[1]Summ!D1064)</f>
        <v>0</v>
      </c>
      <c r="D29" s="38">
        <f t="shared" ref="D29:D51" si="17">B29+C29</f>
        <v>0</v>
      </c>
      <c r="E29" s="75">
        <f>Poor!E29</f>
        <v>1</v>
      </c>
      <c r="F29" s="75">
        <f>Poor!F29</f>
        <v>1.1100000000000001</v>
      </c>
      <c r="G29" s="75">
        <f>Poor!G29</f>
        <v>1.1200000000000001</v>
      </c>
      <c r="H29" s="24">
        <f t="shared" ref="H29:H51" si="18">(E29*F29)</f>
        <v>1.1100000000000001</v>
      </c>
      <c r="I29" s="39">
        <f t="shared" ref="I29:I51" si="19">D29*H29</f>
        <v>0</v>
      </c>
      <c r="J29" s="38">
        <f t="shared" ref="J29:J51" si="20">J78*I$70</f>
        <v>0</v>
      </c>
      <c r="K29" s="40">
        <f t="shared" ref="K29:K51" si="21">(B29/B$52)</f>
        <v>0</v>
      </c>
      <c r="L29" s="22">
        <f t="shared" ref="L29:L51" si="22">(K29*H29)</f>
        <v>0</v>
      </c>
      <c r="M29" s="24">
        <f t="shared" ref="M29:M51" si="23">J29/B$52</f>
        <v>0</v>
      </c>
      <c r="N29" s="2"/>
      <c r="O29" s="2"/>
      <c r="P29" s="2"/>
      <c r="Q29" s="178"/>
      <c r="R29" s="180"/>
      <c r="S29" s="180"/>
      <c r="T29" s="180"/>
      <c r="U29" s="56"/>
      <c r="V29" s="56"/>
      <c r="W29" s="114"/>
      <c r="X29" s="117"/>
      <c r="Y29" s="109"/>
      <c r="Z29" s="121">
        <f>IF($J29=0,0,AA29/($J29))</f>
        <v>0</v>
      </c>
      <c r="AA29" s="146">
        <f>IF(SUM(AA$6:AA$21)+(SUM(AA$31:AA$51,-AA$57)/AA$70)&lt;1,IF(SUM(AA$6:AA$21)+(SUM(AA$31:AA$51,$J$29:$J$30,-AA$57)/AA$70)&lt;1,$J29,(AA$70-(SUM(AA$6:AA$21)*AA$70)-SUM(AA$31:AA$51,-AA$57))*($J29/SUM($J$29:$J$30))),0)</f>
        <v>0</v>
      </c>
      <c r="AB29" s="121">
        <f>IF($J29=0,0,AC29/($J29))</f>
        <v>0</v>
      </c>
      <c r="AC29" s="146">
        <f>IF(SUM(AC$6:AC$21)+(SUM(AC$31:AC$51,-AC$57)/AC$70)&lt;1,IF(SUM(AC$6:AC$21)+((SUM(AC$31:AC$51,$J$29:$J$30,-AC$57)-SUM($AA$29:$AA$30))/AC$70)&lt;1,$J29-$AA29,(AC$70-(SUM(AC$6:AC$21)*AC$70)-SUM(AC$31:AC$51,-AC$57))*($J29/SUM($J$29:$J$30))),0)</f>
        <v>0</v>
      </c>
      <c r="AD29" s="121">
        <f>IF($J29=0,0,AE29/($J29))</f>
        <v>0</v>
      </c>
      <c r="AE29" s="146">
        <f>IF(SUM(AE$6:AE$21)+(SUM(AE$31:AE$51,-AE$57)/AE$70)&lt;1,IF(SUM(AE$6:AE$21)+((SUM(AE$31:AE$51,$J$29:$J$30,-AE$57)-SUM($AA$29:$AA$30)-SUM($AC$29:$AC$30))/AE$70)&lt;1,$J29-$AA29-$AC29,(AE$70-(SUM(AE$6:AE$21)*AE$70)-SUM(AE$31:AE$51,-AE$57))*($J29/SUM($J$29:$J$30))),0)</f>
        <v>0</v>
      </c>
      <c r="AF29" s="121">
        <f t="shared" ref="AF29:AF51" si="24">1-SUM(Z29,AB29,AD29)</f>
        <v>1</v>
      </c>
      <c r="AG29" s="146">
        <f>$J29*AF29</f>
        <v>0</v>
      </c>
      <c r="AH29" s="122">
        <f>SUM(Z29,AB29,AD29,AF29)</f>
        <v>1</v>
      </c>
      <c r="AI29" s="111">
        <f>SUM(AA29,AC29,AE29,AG29)</f>
        <v>0</v>
      </c>
      <c r="AJ29" s="147">
        <f>(AA29+AC29)</f>
        <v>0</v>
      </c>
      <c r="AK29" s="146">
        <f>(AE29+AG29)</f>
        <v>0</v>
      </c>
      <c r="AP29" s="25"/>
      <c r="AQ29" s="25"/>
      <c r="AR29" s="25"/>
      <c r="AS29" s="25"/>
      <c r="AT29" s="25"/>
      <c r="AU29" s="25"/>
      <c r="AW29" s="25"/>
      <c r="AX29" s="25"/>
      <c r="AY29" s="25"/>
      <c r="AZ29" s="25"/>
      <c r="BA29" s="25"/>
      <c r="BB29" s="25"/>
      <c r="BF29" s="25"/>
      <c r="BG29" s="25"/>
      <c r="BH29" s="25"/>
      <c r="BI29" s="25"/>
      <c r="BJ29" s="25"/>
      <c r="BK29" s="25"/>
      <c r="BM29" s="25"/>
      <c r="BN29" s="25"/>
      <c r="BO29" s="25"/>
      <c r="BP29" s="25"/>
      <c r="BQ29" s="25"/>
      <c r="BR29" s="25"/>
      <c r="BU29" s="25"/>
      <c r="BV29" s="25"/>
      <c r="BW29" s="25"/>
      <c r="BX29" s="25"/>
      <c r="BY29" s="25"/>
      <c r="BZ29" s="25"/>
      <c r="CB29" s="25"/>
      <c r="CC29" s="25"/>
      <c r="CD29" s="25"/>
      <c r="CE29" s="25"/>
      <c r="CF29" s="25"/>
      <c r="CG29" s="25"/>
    </row>
    <row r="30" spans="1:89" ht="14" customHeight="1">
      <c r="A30" s="86" t="str">
        <f>IF(Poor!A30=0,"",Poor!A30)</f>
        <v>Goat sales - local: no. sold</v>
      </c>
      <c r="B30" s="217">
        <f>IF([1]Summ!C1065="",0,[1]Summ!C1065)</f>
        <v>0</v>
      </c>
      <c r="C30" s="217">
        <f>IF([1]Summ!D1065="",0,[1]Summ!D1065)</f>
        <v>0</v>
      </c>
      <c r="D30" s="38">
        <f t="shared" si="17"/>
        <v>0</v>
      </c>
      <c r="E30" s="75">
        <f>Poor!E30</f>
        <v>1</v>
      </c>
      <c r="F30" s="75">
        <f>Poor!F30</f>
        <v>1.0900000000000001</v>
      </c>
      <c r="G30" s="22">
        <f t="shared" ref="G30:G51" si="25">(G$29)</f>
        <v>1.1200000000000001</v>
      </c>
      <c r="H30" s="24">
        <f t="shared" si="18"/>
        <v>1.0900000000000001</v>
      </c>
      <c r="I30" s="39">
        <f t="shared" si="19"/>
        <v>0</v>
      </c>
      <c r="J30" s="38">
        <f t="shared" si="20"/>
        <v>0</v>
      </c>
      <c r="K30" s="40">
        <f t="shared" si="21"/>
        <v>0</v>
      </c>
      <c r="L30" s="22">
        <f t="shared" si="22"/>
        <v>0</v>
      </c>
      <c r="M30" s="24">
        <f t="shared" si="23"/>
        <v>0</v>
      </c>
      <c r="N30" s="2"/>
      <c r="O30" s="2"/>
      <c r="P30" s="2"/>
      <c r="Q30" s="59"/>
      <c r="R30" s="180"/>
      <c r="S30" s="180"/>
      <c r="T30" s="180"/>
      <c r="U30" s="56"/>
      <c r="V30" s="56"/>
      <c r="W30" s="114"/>
      <c r="X30" s="117"/>
      <c r="Y30" s="109"/>
      <c r="Z30" s="121">
        <f>IF($J30=0,0,AA30/($J30))</f>
        <v>0</v>
      </c>
      <c r="AA30" s="146">
        <f>IF(SUM(AA$6:AA$21)+(SUM(AA$31:AA$51,-AA$57)/AA$70)&lt;1,IF(SUM(AA$6:AA$21)+(SUM(AA$31:AA$51,$J$29:$J$30,-AA$57)/AA$70)&lt;1,$J30,(AA$70-(SUM(AA$6:AA$21)*AA$70)-SUM(AA$31:AA$51,-AA$57))*($J30/SUM($J$29:$J$30))),0)</f>
        <v>0</v>
      </c>
      <c r="AB30" s="121">
        <f>IF($J30=0,0,AC30/($J30))</f>
        <v>0</v>
      </c>
      <c r="AC30" s="146">
        <f>IF(SUM(AC$6:AC$21)+(SUM(AC$31:AC$51,-AC$57)/AC$70)&lt;1,IF(SUM(AC$6:AC$21)+((SUM(AC$31:AC$51,$J$29:$J$30,-AC$57)-SUM($AA$29:$AA$30))/AC$70)&lt;1,$J30-$AA30,(AC$70-(SUM(AC$6:AC$21)*AC$70)-SUM(AC$31:AC$51,-AC$57))*($J30/SUM($J$29:$J$30))),0)</f>
        <v>0</v>
      </c>
      <c r="AD30" s="121">
        <f>IF($J30=0,0,AE30/($J30))</f>
        <v>0</v>
      </c>
      <c r="AE30" s="146">
        <f>IF(SUM(AE$6:AE$21)+(SUM(AE$31:AE$51,-AE$57)/AE$70)&lt;1,IF(SUM(AE$6:AE$21)+((SUM(AE$31:AE$51,$J$29:$J$30,-AE$57)-SUM($AA$29:$AA$30)-SUM($AC$29:$AC$30))/AE$70)&lt;1,$J30-$AA30-$AC30,(AE$70-(SUM(AE$6:AE$21)*AE$70)-SUM(AE$31:AE$51,-AE$57))*($J30/SUM($J$29:$J$30))),0)</f>
        <v>0</v>
      </c>
      <c r="AF30" s="121">
        <f t="shared" si="24"/>
        <v>1</v>
      </c>
      <c r="AG30" s="146">
        <f t="shared" ref="AG30:AG51" si="26">$J30*AF30</f>
        <v>0</v>
      </c>
      <c r="AH30" s="122">
        <f t="shared" ref="AH30:AI45" si="27">SUM(Z30,AB30,AD30,AF30)</f>
        <v>1</v>
      </c>
      <c r="AI30" s="111">
        <f t="shared" si="27"/>
        <v>0</v>
      </c>
      <c r="AJ30" s="147">
        <f t="shared" ref="AJ30:AJ51" si="28">(AA30+AC30)</f>
        <v>0</v>
      </c>
      <c r="AK30" s="146">
        <f t="shared" ref="AK30:AK51" si="29">(AE30+AG30)</f>
        <v>0</v>
      </c>
      <c r="AP30" s="25"/>
      <c r="AQ30" s="25"/>
      <c r="AR30" s="25"/>
      <c r="AS30" s="25"/>
      <c r="AT30" s="25"/>
      <c r="AU30" s="25"/>
      <c r="AW30" s="25"/>
      <c r="AX30" s="25"/>
      <c r="AY30" s="25"/>
      <c r="AZ30" s="25"/>
      <c r="BA30" s="25"/>
      <c r="BB30" s="25"/>
      <c r="BF30" s="25"/>
      <c r="BG30" s="25"/>
      <c r="BH30" s="25"/>
      <c r="BI30" s="25"/>
      <c r="BJ30" s="25"/>
      <c r="BK30" s="25"/>
      <c r="BM30" s="25"/>
      <c r="BN30" s="25"/>
      <c r="BO30" s="25"/>
      <c r="BP30" s="25"/>
      <c r="BQ30" s="25"/>
      <c r="BR30" s="25"/>
      <c r="BU30" s="25"/>
      <c r="BV30" s="25"/>
      <c r="BW30" s="25"/>
      <c r="BX30" s="25"/>
      <c r="BY30" s="25"/>
      <c r="BZ30" s="25"/>
      <c r="CB30" s="25"/>
      <c r="CC30" s="25"/>
      <c r="CD30" s="25"/>
      <c r="CE30" s="25"/>
      <c r="CF30" s="25"/>
      <c r="CG30" s="25"/>
    </row>
    <row r="31" spans="1:89" ht="14" customHeight="1">
      <c r="A31" s="86" t="str">
        <f>IF(Poor!A31=0,"",Poor!A31)</f>
        <v>Sheep sales - local: no. sold</v>
      </c>
      <c r="B31" s="217">
        <f>IF([1]Summ!C1066="",0,[1]Summ!C1066)</f>
        <v>0</v>
      </c>
      <c r="C31" s="217">
        <f>IF([1]Summ!D1066="",0,[1]Summ!D1066)</f>
        <v>0</v>
      </c>
      <c r="D31" s="38">
        <f t="shared" si="17"/>
        <v>0</v>
      </c>
      <c r="E31" s="75">
        <f>Poor!E31</f>
        <v>1</v>
      </c>
      <c r="F31" s="75">
        <f>Poor!F31</f>
        <v>1.0900000000000001</v>
      </c>
      <c r="G31" s="22">
        <f t="shared" si="25"/>
        <v>1.1200000000000001</v>
      </c>
      <c r="H31" s="24">
        <f t="shared" si="18"/>
        <v>1.0900000000000001</v>
      </c>
      <c r="I31" s="39">
        <f t="shared" si="19"/>
        <v>0</v>
      </c>
      <c r="J31" s="38">
        <f t="shared" si="20"/>
        <v>0</v>
      </c>
      <c r="K31" s="40">
        <f t="shared" si="21"/>
        <v>0</v>
      </c>
      <c r="L31" s="22">
        <f t="shared" si="22"/>
        <v>0</v>
      </c>
      <c r="M31" s="24">
        <f t="shared" si="23"/>
        <v>0</v>
      </c>
      <c r="N31" s="2"/>
      <c r="O31" s="2"/>
      <c r="P31" s="2"/>
      <c r="Q31" s="2"/>
      <c r="R31" s="180"/>
      <c r="S31" s="180"/>
      <c r="T31" s="180"/>
      <c r="U31" s="56"/>
      <c r="V31" s="56"/>
      <c r="W31" s="114"/>
      <c r="X31" s="117"/>
      <c r="Y31" s="109"/>
      <c r="Z31" s="121">
        <f>Z8</f>
        <v>0</v>
      </c>
      <c r="AA31" s="146">
        <f t="shared" ref="AA31:AA51" si="30">$J31*Z31</f>
        <v>0</v>
      </c>
      <c r="AB31" s="121">
        <f>AB8</f>
        <v>0</v>
      </c>
      <c r="AC31" s="146">
        <f t="shared" ref="AC31:AC51" si="31">$J31*AB31</f>
        <v>0</v>
      </c>
      <c r="AD31" s="121">
        <f>AD8</f>
        <v>0</v>
      </c>
      <c r="AE31" s="146">
        <f t="shared" ref="AE31:AE51" si="32">$J31*AD31</f>
        <v>0</v>
      </c>
      <c r="AF31" s="121">
        <f t="shared" si="24"/>
        <v>1</v>
      </c>
      <c r="AG31" s="146">
        <f t="shared" si="26"/>
        <v>0</v>
      </c>
      <c r="AH31" s="122">
        <f t="shared" si="27"/>
        <v>1</v>
      </c>
      <c r="AI31" s="111">
        <f t="shared" si="27"/>
        <v>0</v>
      </c>
      <c r="AJ31" s="147">
        <f t="shared" si="28"/>
        <v>0</v>
      </c>
      <c r="AK31" s="146">
        <f t="shared" si="29"/>
        <v>0</v>
      </c>
      <c r="AP31" s="25"/>
      <c r="AQ31" s="25"/>
      <c r="AR31" s="25"/>
      <c r="AS31" s="25"/>
      <c r="AT31" s="25"/>
      <c r="AU31" s="25"/>
      <c r="AW31" s="25"/>
      <c r="AX31" s="25"/>
      <c r="AY31" s="25"/>
      <c r="AZ31" s="25"/>
      <c r="BA31" s="25"/>
      <c r="BB31" s="25"/>
      <c r="BF31" s="25"/>
      <c r="BG31" s="25"/>
      <c r="BH31" s="25"/>
      <c r="BI31" s="25"/>
      <c r="BJ31" s="25"/>
      <c r="BK31" s="25"/>
      <c r="BM31" s="25"/>
      <c r="BN31" s="25"/>
      <c r="BO31" s="25"/>
      <c r="BP31" s="25"/>
      <c r="BQ31" s="25"/>
      <c r="BR31" s="25"/>
      <c r="BU31" s="25"/>
      <c r="BV31" s="25"/>
      <c r="BW31" s="25"/>
      <c r="BX31" s="25"/>
      <c r="BY31" s="25"/>
      <c r="BZ31" s="25"/>
      <c r="CB31" s="25"/>
      <c r="CC31" s="25"/>
      <c r="CD31" s="25"/>
      <c r="CE31" s="25"/>
      <c r="CF31" s="25"/>
      <c r="CG31" s="25"/>
    </row>
    <row r="32" spans="1:89" ht="14" customHeight="1">
      <c r="A32" s="86" t="str">
        <f>IF(Poor!A32=0,"",Poor!A32)</f>
        <v>Maize: kg produced</v>
      </c>
      <c r="B32" s="217">
        <f>IF([1]Summ!C1067="",0,[1]Summ!C1067)</f>
        <v>0</v>
      </c>
      <c r="C32" s="217">
        <f>IF([1]Summ!D1067="",0,[1]Summ!D1067)</f>
        <v>0</v>
      </c>
      <c r="D32" s="38">
        <f t="shared" si="17"/>
        <v>0</v>
      </c>
      <c r="E32" s="75">
        <f>Poor!E32</f>
        <v>1</v>
      </c>
      <c r="F32" s="75">
        <f>Poor!F32</f>
        <v>1.02</v>
      </c>
      <c r="G32" s="22">
        <f t="shared" si="25"/>
        <v>1.1200000000000001</v>
      </c>
      <c r="H32" s="24">
        <f t="shared" si="18"/>
        <v>1.02</v>
      </c>
      <c r="I32" s="39">
        <f t="shared" si="19"/>
        <v>0</v>
      </c>
      <c r="J32" s="38">
        <f t="shared" si="20"/>
        <v>0</v>
      </c>
      <c r="K32" s="40">
        <f t="shared" si="21"/>
        <v>0</v>
      </c>
      <c r="L32" s="22">
        <f t="shared" si="22"/>
        <v>0</v>
      </c>
      <c r="M32" s="24">
        <f t="shared" si="23"/>
        <v>0</v>
      </c>
      <c r="N32" s="2"/>
      <c r="O32" s="2"/>
      <c r="P32" s="2"/>
      <c r="Q32" s="59" t="s">
        <v>143</v>
      </c>
      <c r="R32" s="249">
        <f>$B$57+((1-$D$21)*$B$70)</f>
        <v>16041.135719949451</v>
      </c>
      <c r="S32" s="249">
        <f>($B$57*$H$57)+((1-($D$21*$H$21))*$I$70)</f>
        <v>18219.891405717637</v>
      </c>
      <c r="T32" s="249">
        <f>($B$57*$H$57)+((1-($D$21*$H$21))*$I$70)</f>
        <v>18219.891405717637</v>
      </c>
      <c r="U32" s="56"/>
      <c r="V32" s="56"/>
      <c r="W32" s="114"/>
      <c r="X32" s="117">
        <f>X9</f>
        <v>1</v>
      </c>
      <c r="Y32" s="109"/>
      <c r="Z32" s="121">
        <f>Z9</f>
        <v>1</v>
      </c>
      <c r="AA32" s="146">
        <f t="shared" si="30"/>
        <v>0</v>
      </c>
      <c r="AB32" s="121">
        <f>AB9</f>
        <v>0</v>
      </c>
      <c r="AC32" s="146">
        <f t="shared" si="31"/>
        <v>0</v>
      </c>
      <c r="AD32" s="121">
        <f>AD9</f>
        <v>0</v>
      </c>
      <c r="AE32" s="146">
        <f t="shared" si="32"/>
        <v>0</v>
      </c>
      <c r="AF32" s="121">
        <f t="shared" si="24"/>
        <v>0</v>
      </c>
      <c r="AG32" s="146">
        <f t="shared" si="26"/>
        <v>0</v>
      </c>
      <c r="AH32" s="122">
        <f t="shared" si="27"/>
        <v>1</v>
      </c>
      <c r="AI32" s="111">
        <f t="shared" si="27"/>
        <v>0</v>
      </c>
      <c r="AJ32" s="147">
        <f t="shared" si="28"/>
        <v>0</v>
      </c>
      <c r="AK32" s="146">
        <f t="shared" si="29"/>
        <v>0</v>
      </c>
      <c r="AP32" s="25"/>
      <c r="AQ32" s="25"/>
      <c r="AR32" s="25"/>
      <c r="AS32" s="25"/>
      <c r="AT32" s="25"/>
      <c r="AU32" s="25"/>
      <c r="AW32" s="25"/>
      <c r="AX32" s="25"/>
      <c r="AY32" s="25"/>
      <c r="AZ32" s="25"/>
      <c r="BA32" s="25"/>
      <c r="BB32" s="25"/>
      <c r="BF32" s="25"/>
      <c r="BG32" s="25"/>
      <c r="BH32" s="25"/>
      <c r="BI32" s="25"/>
      <c r="BJ32" s="25"/>
      <c r="BK32" s="25"/>
      <c r="BM32" s="25"/>
      <c r="BN32" s="25"/>
      <c r="BO32" s="25"/>
      <c r="BP32" s="25"/>
      <c r="BQ32" s="25"/>
      <c r="BR32" s="25"/>
      <c r="BU32" s="25"/>
      <c r="BV32" s="25"/>
      <c r="BW32" s="25"/>
      <c r="BX32" s="25"/>
      <c r="BY32" s="25"/>
      <c r="BZ32" s="25"/>
      <c r="CB32" s="25"/>
      <c r="CC32" s="25"/>
      <c r="CD32" s="25"/>
      <c r="CE32" s="25"/>
      <c r="CF32" s="25"/>
      <c r="CG32" s="25"/>
    </row>
    <row r="33" spans="1:85" ht="14" customHeight="1">
      <c r="A33" s="86" t="str">
        <f>IF(Poor!A33=0,"",Poor!A33)</f>
        <v>WILD FOODS -- see worksheet Data 3</v>
      </c>
      <c r="B33" s="217">
        <f>IF([1]Summ!C1068="",0,[1]Summ!C1068)</f>
        <v>0</v>
      </c>
      <c r="C33" s="217">
        <f>IF([1]Summ!D1068="",0,[1]Summ!D1068)</f>
        <v>750</v>
      </c>
      <c r="D33" s="38">
        <f t="shared" si="17"/>
        <v>750</v>
      </c>
      <c r="E33" s="75">
        <f>Poor!E33</f>
        <v>0.8</v>
      </c>
      <c r="F33" s="75">
        <f>Poor!F33</f>
        <v>1</v>
      </c>
      <c r="G33" s="22">
        <f t="shared" si="25"/>
        <v>1.1200000000000001</v>
      </c>
      <c r="H33" s="24">
        <f t="shared" si="18"/>
        <v>0.8</v>
      </c>
      <c r="I33" s="39">
        <f t="shared" si="19"/>
        <v>600</v>
      </c>
      <c r="J33" s="38">
        <f t="shared" si="20"/>
        <v>600</v>
      </c>
      <c r="K33" s="40">
        <f t="shared" si="21"/>
        <v>0</v>
      </c>
      <c r="L33" s="22">
        <f t="shared" si="22"/>
        <v>0</v>
      </c>
      <c r="M33" s="24">
        <f t="shared" si="23"/>
        <v>2.0359124664138785E-2</v>
      </c>
      <c r="N33" s="2"/>
      <c r="O33" s="2"/>
      <c r="P33" s="2"/>
      <c r="Q33" s="59" t="s">
        <v>144</v>
      </c>
      <c r="R33" s="249">
        <f>$B$57+$B$58+((1-$D$21)*$B$70)</f>
        <v>25777.80238661612</v>
      </c>
      <c r="S33" s="41">
        <f>(($B$57*$H$57)+($B$58*$H$58)+((1-($D$21*$H$21))*$I$70))</f>
        <v>29027.591405717634</v>
      </c>
      <c r="T33" s="41">
        <f>(($B$57*$H$57)+($B$58*$H$58)+((1-($D$21*$H$21))*$I$70))</f>
        <v>29027.591405717634</v>
      </c>
      <c r="U33" s="56"/>
      <c r="V33" s="56"/>
      <c r="W33" s="114"/>
      <c r="X33" s="117">
        <f>X11</f>
        <v>1</v>
      </c>
      <c r="Y33" s="109"/>
      <c r="Z33" s="121">
        <f>Z11</f>
        <v>0</v>
      </c>
      <c r="AA33" s="146">
        <f t="shared" si="30"/>
        <v>0</v>
      </c>
      <c r="AB33" s="121">
        <f>AB11</f>
        <v>0</v>
      </c>
      <c r="AC33" s="146">
        <f t="shared" si="31"/>
        <v>0</v>
      </c>
      <c r="AD33" s="121">
        <f>AD11</f>
        <v>0</v>
      </c>
      <c r="AE33" s="146">
        <f t="shared" si="32"/>
        <v>0</v>
      </c>
      <c r="AF33" s="121">
        <f t="shared" si="24"/>
        <v>1</v>
      </c>
      <c r="AG33" s="146">
        <f t="shared" si="26"/>
        <v>600</v>
      </c>
      <c r="AH33" s="122">
        <f t="shared" si="27"/>
        <v>1</v>
      </c>
      <c r="AI33" s="111">
        <f t="shared" si="27"/>
        <v>600</v>
      </c>
      <c r="AJ33" s="147">
        <f t="shared" si="28"/>
        <v>0</v>
      </c>
      <c r="AK33" s="146">
        <f t="shared" si="29"/>
        <v>600</v>
      </c>
      <c r="AP33" s="25"/>
      <c r="AQ33" s="25"/>
      <c r="AR33" s="25"/>
      <c r="AS33" s="25"/>
      <c r="AT33" s="25"/>
      <c r="AU33" s="25"/>
      <c r="AW33" s="25"/>
      <c r="AX33" s="25"/>
      <c r="AY33" s="25"/>
      <c r="AZ33" s="25"/>
      <c r="BA33" s="25"/>
      <c r="BB33" s="25"/>
      <c r="BF33" s="25"/>
      <c r="BG33" s="25"/>
      <c r="BH33" s="25"/>
      <c r="BI33" s="25"/>
      <c r="BJ33" s="25"/>
      <c r="BK33" s="25"/>
      <c r="BM33" s="25"/>
      <c r="BN33" s="25"/>
      <c r="BO33" s="25"/>
      <c r="BP33" s="25"/>
      <c r="BQ33" s="25"/>
      <c r="BR33" s="25"/>
      <c r="BU33" s="25"/>
      <c r="BV33" s="25"/>
      <c r="BW33" s="25"/>
      <c r="BX33" s="25"/>
      <c r="BY33" s="25"/>
      <c r="BZ33" s="25"/>
      <c r="CB33" s="25"/>
      <c r="CC33" s="25"/>
      <c r="CD33" s="25"/>
      <c r="CE33" s="25"/>
      <c r="CF33" s="25"/>
      <c r="CG33" s="25"/>
    </row>
    <row r="34" spans="1:85" ht="14" customHeight="1">
      <c r="A34" s="86" t="str">
        <f>IF(Poor!A34=0,"",Poor!A34)</f>
        <v>Agricultural cash income -- see Data2</v>
      </c>
      <c r="B34" s="217">
        <f>IF([1]Summ!C1069="",0,[1]Summ!C1069)</f>
        <v>3375</v>
      </c>
      <c r="C34" s="217">
        <f>IF([1]Summ!D1069="",0,[1]Summ!D1069)</f>
        <v>0</v>
      </c>
      <c r="D34" s="38">
        <f t="shared" si="17"/>
        <v>3375</v>
      </c>
      <c r="E34" s="75">
        <f>Poor!E34</f>
        <v>0.87</v>
      </c>
      <c r="F34" s="75">
        <f>Poor!F34</f>
        <v>1.1100000000000001</v>
      </c>
      <c r="G34" s="22">
        <f t="shared" si="25"/>
        <v>1.1200000000000001</v>
      </c>
      <c r="H34" s="24">
        <f t="shared" si="18"/>
        <v>0.96570000000000011</v>
      </c>
      <c r="I34" s="39">
        <f t="shared" si="19"/>
        <v>3259.2375000000002</v>
      </c>
      <c r="J34" s="38">
        <f t="shared" si="20"/>
        <v>3259.2375000000006</v>
      </c>
      <c r="K34" s="40">
        <f t="shared" si="21"/>
        <v>0.11452007623578067</v>
      </c>
      <c r="L34" s="22">
        <f t="shared" si="22"/>
        <v>0.11059203762089341</v>
      </c>
      <c r="M34" s="24">
        <f t="shared" si="23"/>
        <v>0.11059203762089342</v>
      </c>
      <c r="N34" s="2"/>
      <c r="O34" s="2"/>
      <c r="P34" s="175"/>
      <c r="Q34" s="59" t="s">
        <v>145</v>
      </c>
      <c r="R34" s="249">
        <f>$B$57+$B$58+$B$59+((1-$D$21)*$B$70)</f>
        <v>43117.802386616124</v>
      </c>
      <c r="S34" s="41">
        <f>(($B$57*$H$57)+($B$58*$H$58)+($B$59*$H$59)+((1-($D$21*$H$21))*$I$70))</f>
        <v>48274.991405717636</v>
      </c>
      <c r="T34" s="41">
        <f>(($B$57*$H$57)+($B$58*$H$58)+($B$59*$H$59)+((1-($D$21*$H$21))*$I$70))</f>
        <v>48274.991405717636</v>
      </c>
      <c r="U34" s="56"/>
      <c r="V34" s="56"/>
      <c r="W34" s="114"/>
      <c r="X34" s="117">
        <v>1</v>
      </c>
      <c r="Y34" s="109"/>
      <c r="Z34" s="155">
        <f>Poor!Z34</f>
        <v>0.25</v>
      </c>
      <c r="AA34" s="146">
        <f t="shared" si="30"/>
        <v>814.80937500000016</v>
      </c>
      <c r="AB34" s="155">
        <f>Poor!AB34</f>
        <v>0</v>
      </c>
      <c r="AC34" s="146">
        <f t="shared" si="31"/>
        <v>0</v>
      </c>
      <c r="AD34" s="155">
        <f>Poor!AD34</f>
        <v>0.5</v>
      </c>
      <c r="AE34" s="146">
        <f t="shared" si="32"/>
        <v>1629.6187500000003</v>
      </c>
      <c r="AF34" s="121">
        <f t="shared" si="24"/>
        <v>0.25</v>
      </c>
      <c r="AG34" s="146">
        <f t="shared" si="26"/>
        <v>814.80937500000016</v>
      </c>
      <c r="AH34" s="122">
        <f t="shared" si="27"/>
        <v>1</v>
      </c>
      <c r="AI34" s="111">
        <f t="shared" si="27"/>
        <v>3259.2375000000006</v>
      </c>
      <c r="AJ34" s="147">
        <f t="shared" si="28"/>
        <v>814.80937500000016</v>
      </c>
      <c r="AK34" s="146">
        <f t="shared" si="29"/>
        <v>2444.4281250000004</v>
      </c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5" ht="14" customHeight="1">
      <c r="A35" s="86" t="str">
        <f>IF(Poor!A35=0,"",Poor!A35)</f>
        <v>Domestic work cash income -- see Data2</v>
      </c>
      <c r="B35" s="217">
        <f>IF([1]Summ!C1070="",0,[1]Summ!C1070)</f>
        <v>3960</v>
      </c>
      <c r="C35" s="217">
        <f>IF([1]Summ!D1070="",0,[1]Summ!D1070)</f>
        <v>0</v>
      </c>
      <c r="D35" s="38">
        <f t="shared" si="17"/>
        <v>3960</v>
      </c>
      <c r="E35" s="75">
        <f>Poor!E35</f>
        <v>1</v>
      </c>
      <c r="F35" s="75">
        <f>Poor!F35</f>
        <v>1.1000000000000001</v>
      </c>
      <c r="G35" s="22">
        <f t="shared" si="25"/>
        <v>1.1200000000000001</v>
      </c>
      <c r="H35" s="24">
        <f t="shared" si="18"/>
        <v>1.1000000000000001</v>
      </c>
      <c r="I35" s="39">
        <f t="shared" si="19"/>
        <v>4356</v>
      </c>
      <c r="J35" s="38">
        <f t="shared" si="20"/>
        <v>4356.0000000000009</v>
      </c>
      <c r="K35" s="40">
        <f t="shared" si="21"/>
        <v>0.13437022278331598</v>
      </c>
      <c r="L35" s="22">
        <f t="shared" si="22"/>
        <v>0.14780724506164758</v>
      </c>
      <c r="M35" s="24">
        <f t="shared" si="23"/>
        <v>0.14780724506164761</v>
      </c>
      <c r="N35" s="2"/>
      <c r="O35" s="2"/>
      <c r="P35" s="175"/>
      <c r="Q35" s="59" t="s">
        <v>146</v>
      </c>
      <c r="R35" s="249">
        <f>$B$57+$B$58+$B$59+$B$60+((1-$D$20-$D$21)*$B$70)</f>
        <v>43487.802386616124</v>
      </c>
      <c r="S35" s="41">
        <f>(($B$57*$H$57)+($B$58*$H$58)+($B$59*$H$59)+($B$60*$H$60)+((1-($D$20*$H$20)-($D$21*$H$21))*$I$70))</f>
        <v>48685.691405717633</v>
      </c>
      <c r="T35" s="41">
        <f>(($B$57*$H$57)+($B$58*$H$58)+($B$59*$H$59)+($B$60*$H$60)+((1-($D$20*$H$20)-($D$21*$H$21))*$I$70))</f>
        <v>48685.691405717633</v>
      </c>
      <c r="U35" s="56"/>
      <c r="V35" s="56"/>
      <c r="W35" s="114"/>
      <c r="X35" s="117"/>
      <c r="Y35" s="109"/>
      <c r="Z35" s="155">
        <f>Poor!Z35</f>
        <v>0.25</v>
      </c>
      <c r="AA35" s="146">
        <f t="shared" si="30"/>
        <v>1089.0000000000002</v>
      </c>
      <c r="AB35" s="155">
        <f>Poor!AB35</f>
        <v>0.25</v>
      </c>
      <c r="AC35" s="146">
        <f t="shared" si="31"/>
        <v>1089.0000000000002</v>
      </c>
      <c r="AD35" s="155">
        <f>Poor!AD35</f>
        <v>0.25</v>
      </c>
      <c r="AE35" s="146">
        <f t="shared" si="32"/>
        <v>1089.0000000000002</v>
      </c>
      <c r="AF35" s="121">
        <f t="shared" si="24"/>
        <v>0.25</v>
      </c>
      <c r="AG35" s="146">
        <f t="shared" si="26"/>
        <v>1089.0000000000002</v>
      </c>
      <c r="AH35" s="122">
        <f t="shared" si="27"/>
        <v>1</v>
      </c>
      <c r="AI35" s="111">
        <f t="shared" si="27"/>
        <v>4356.0000000000009</v>
      </c>
      <c r="AJ35" s="147">
        <f t="shared" si="28"/>
        <v>2178.0000000000005</v>
      </c>
      <c r="AK35" s="146">
        <f t="shared" si="29"/>
        <v>2178.0000000000005</v>
      </c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5" ht="14" customHeight="1">
      <c r="A36" s="86" t="str">
        <f>IF(Poor!A36=0,"",Poor!A36)</f>
        <v>Formal Employment (conservancies, etc.)</v>
      </c>
      <c r="B36" s="217">
        <f>IF([1]Summ!C1071="",0,[1]Summ!C1071)</f>
        <v>0</v>
      </c>
      <c r="C36" s="217">
        <f>IF([1]Summ!D1071="",0,[1]Summ!D1071)</f>
        <v>0</v>
      </c>
      <c r="D36" s="38">
        <f t="shared" si="17"/>
        <v>0</v>
      </c>
      <c r="E36" s="75">
        <f>Poor!E36</f>
        <v>1</v>
      </c>
      <c r="F36" s="75">
        <f>Poor!F36</f>
        <v>1.07</v>
      </c>
      <c r="G36" s="22">
        <f t="shared" si="25"/>
        <v>1.1200000000000001</v>
      </c>
      <c r="H36" s="24">
        <f t="shared" si="18"/>
        <v>1.07</v>
      </c>
      <c r="I36" s="39">
        <f t="shared" si="19"/>
        <v>0</v>
      </c>
      <c r="J36" s="38">
        <f t="shared" si="20"/>
        <v>0</v>
      </c>
      <c r="K36" s="40">
        <f t="shared" si="21"/>
        <v>0</v>
      </c>
      <c r="L36" s="22">
        <f t="shared" si="22"/>
        <v>0</v>
      </c>
      <c r="M36" s="24">
        <f t="shared" si="23"/>
        <v>0</v>
      </c>
      <c r="N36" s="2"/>
      <c r="O36" s="2"/>
      <c r="P36" s="2"/>
      <c r="Q36" s="59"/>
      <c r="R36" s="224"/>
      <c r="S36" s="224"/>
      <c r="T36" s="224"/>
      <c r="U36" s="56"/>
      <c r="V36" s="56"/>
      <c r="W36" s="116"/>
      <c r="X36" s="117"/>
      <c r="Y36" s="109"/>
      <c r="Z36" s="155">
        <f>Poor!Z36</f>
        <v>0.25</v>
      </c>
      <c r="AA36" s="146">
        <f t="shared" si="30"/>
        <v>0</v>
      </c>
      <c r="AB36" s="155">
        <f>Poor!AB36</f>
        <v>0.25</v>
      </c>
      <c r="AC36" s="146">
        <f t="shared" si="31"/>
        <v>0</v>
      </c>
      <c r="AD36" s="155">
        <f>Poor!AD36</f>
        <v>0.25</v>
      </c>
      <c r="AE36" s="146">
        <f t="shared" si="32"/>
        <v>0</v>
      </c>
      <c r="AF36" s="121">
        <f t="shared" si="24"/>
        <v>0.25</v>
      </c>
      <c r="AG36" s="146">
        <f t="shared" si="26"/>
        <v>0</v>
      </c>
      <c r="AH36" s="122">
        <f t="shared" si="27"/>
        <v>1</v>
      </c>
      <c r="AI36" s="111">
        <f t="shared" si="27"/>
        <v>0</v>
      </c>
      <c r="AJ36" s="147">
        <f t="shared" si="28"/>
        <v>0</v>
      </c>
      <c r="AK36" s="146">
        <f t="shared" si="29"/>
        <v>0</v>
      </c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5" ht="14" customHeight="1">
      <c r="A37" s="74" t="str">
        <f>IF(Poor!A37=0,"",Poor!A37)</f>
        <v>Self-employment -- see Data2</v>
      </c>
      <c r="B37" s="217">
        <f>IF([1]Summ!C1072="",0,[1]Summ!C1072)</f>
        <v>5040</v>
      </c>
      <c r="C37" s="217">
        <f>IF([1]Summ!D1072="",0,[1]Summ!D1072)</f>
        <v>1008</v>
      </c>
      <c r="D37" s="38">
        <f t="shared" si="17"/>
        <v>6048</v>
      </c>
      <c r="E37" s="75">
        <f>Poor!E37</f>
        <v>1</v>
      </c>
      <c r="F37" s="75">
        <f>Poor!F37</f>
        <v>1.1000000000000001</v>
      </c>
      <c r="G37" s="22">
        <f t="shared" si="25"/>
        <v>1.1200000000000001</v>
      </c>
      <c r="H37" s="24">
        <f t="shared" si="18"/>
        <v>1.1000000000000001</v>
      </c>
      <c r="I37" s="39">
        <f t="shared" si="19"/>
        <v>6652.8</v>
      </c>
      <c r="J37" s="38">
        <f t="shared" si="20"/>
        <v>6652.8000000000011</v>
      </c>
      <c r="K37" s="40">
        <f t="shared" si="21"/>
        <v>0.1710166471787658</v>
      </c>
      <c r="L37" s="22">
        <f t="shared" si="22"/>
        <v>0.18811831189664241</v>
      </c>
      <c r="M37" s="24">
        <f t="shared" si="23"/>
        <v>0.2257419742759709</v>
      </c>
      <c r="N37" s="2"/>
      <c r="O37" s="2"/>
      <c r="P37" s="2"/>
      <c r="Q37" s="56" t="s">
        <v>147</v>
      </c>
      <c r="R37" s="246">
        <f>IF(R24&gt;R$23,R24-R$23,0)</f>
        <v>0</v>
      </c>
      <c r="S37" s="246">
        <f t="shared" ref="S37:T37" si="33">IF(S24&gt;S$23,S24-S$23,0)</f>
        <v>0</v>
      </c>
      <c r="T37" s="246">
        <f t="shared" si="33"/>
        <v>0</v>
      </c>
      <c r="U37" s="56"/>
      <c r="V37" s="56"/>
      <c r="W37" s="109"/>
      <c r="X37" s="117"/>
      <c r="Y37" s="109"/>
      <c r="Z37" s="155">
        <f>Poor!Z37</f>
        <v>0.25</v>
      </c>
      <c r="AA37" s="146">
        <f t="shared" si="30"/>
        <v>1663.2000000000003</v>
      </c>
      <c r="AB37" s="155">
        <f>Poor!AB37</f>
        <v>0.25</v>
      </c>
      <c r="AC37" s="146">
        <f t="shared" si="31"/>
        <v>1663.2000000000003</v>
      </c>
      <c r="AD37" s="155">
        <f>Poor!AD37</f>
        <v>0.25</v>
      </c>
      <c r="AE37" s="146">
        <f t="shared" si="32"/>
        <v>1663.2000000000003</v>
      </c>
      <c r="AF37" s="121">
        <f t="shared" si="24"/>
        <v>0.25</v>
      </c>
      <c r="AG37" s="146">
        <f t="shared" si="26"/>
        <v>1663.2000000000003</v>
      </c>
      <c r="AH37" s="122">
        <f t="shared" si="27"/>
        <v>1</v>
      </c>
      <c r="AI37" s="111">
        <f t="shared" si="27"/>
        <v>6652.8000000000011</v>
      </c>
      <c r="AJ37" s="147">
        <f t="shared" si="28"/>
        <v>3326.4000000000005</v>
      </c>
      <c r="AK37" s="146">
        <f t="shared" si="29"/>
        <v>3326.4000000000005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5" ht="14" customHeight="1">
      <c r="A38" s="74" t="str">
        <f>IF(Poor!A38=0,"",Poor!A38)</f>
        <v>Small business -- see Data2</v>
      </c>
      <c r="B38" s="217">
        <f>IF([1]Summ!C1073="",0,[1]Summ!C1073)</f>
        <v>0</v>
      </c>
      <c r="C38" s="217">
        <f>IF([1]Summ!D1073="",0,[1]Summ!D1073)</f>
        <v>0</v>
      </c>
      <c r="D38" s="38">
        <f t="shared" si="17"/>
        <v>0</v>
      </c>
      <c r="E38" s="75">
        <f>Poor!E38</f>
        <v>1</v>
      </c>
      <c r="F38" s="75">
        <f>Poor!F38</f>
        <v>1.05</v>
      </c>
      <c r="G38" s="22">
        <f t="shared" si="25"/>
        <v>1.1200000000000001</v>
      </c>
      <c r="H38" s="24">
        <f t="shared" si="18"/>
        <v>1.05</v>
      </c>
      <c r="I38" s="39">
        <f t="shared" si="19"/>
        <v>0</v>
      </c>
      <c r="J38" s="38">
        <f t="shared" si="20"/>
        <v>0</v>
      </c>
      <c r="K38" s="40">
        <f t="shared" si="21"/>
        <v>0</v>
      </c>
      <c r="L38" s="22">
        <f t="shared" si="22"/>
        <v>0</v>
      </c>
      <c r="M38" s="24">
        <f t="shared" si="23"/>
        <v>0</v>
      </c>
      <c r="N38" s="2"/>
      <c r="O38" s="2"/>
      <c r="P38" s="2"/>
      <c r="Q38" s="59" t="s">
        <v>148</v>
      </c>
      <c r="R38" s="246">
        <f>IF(R25&gt;R$23,R25-R$23,0)</f>
        <v>0</v>
      </c>
      <c r="S38" s="246">
        <f t="shared" ref="S38:T38" si="34">IF(S25&gt;S$23,S25-S$23,0)</f>
        <v>0</v>
      </c>
      <c r="T38" s="246">
        <f t="shared" si="34"/>
        <v>0</v>
      </c>
      <c r="U38" s="56"/>
      <c r="V38" s="56"/>
      <c r="W38" s="109"/>
      <c r="X38" s="117"/>
      <c r="Y38" s="109"/>
      <c r="Z38" s="155">
        <f>Poor!Z38</f>
        <v>0.25</v>
      </c>
      <c r="AA38" s="146">
        <f t="shared" si="30"/>
        <v>0</v>
      </c>
      <c r="AB38" s="155">
        <f>Poor!AB38</f>
        <v>0.25</v>
      </c>
      <c r="AC38" s="146">
        <f t="shared" si="31"/>
        <v>0</v>
      </c>
      <c r="AD38" s="155">
        <f>Poor!AD38</f>
        <v>0.25</v>
      </c>
      <c r="AE38" s="146">
        <f t="shared" si="32"/>
        <v>0</v>
      </c>
      <c r="AF38" s="121">
        <f t="shared" si="24"/>
        <v>0.25</v>
      </c>
      <c r="AG38" s="146">
        <f t="shared" si="26"/>
        <v>0</v>
      </c>
      <c r="AH38" s="122">
        <f t="shared" si="27"/>
        <v>1</v>
      </c>
      <c r="AI38" s="111">
        <f t="shared" si="27"/>
        <v>0</v>
      </c>
      <c r="AJ38" s="147">
        <f t="shared" si="28"/>
        <v>0</v>
      </c>
      <c r="AK38" s="146">
        <f t="shared" si="29"/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5" ht="14" customHeight="1">
      <c r="A39" s="74" t="str">
        <f>IF(Poor!A39=0,"",Poor!A39)</f>
        <v>Social Cash Transfers -- see Data2</v>
      </c>
      <c r="B39" s="217">
        <f>IF([1]Summ!C1074="",0,[1]Summ!C1074)</f>
        <v>17095.815170008718</v>
      </c>
      <c r="C39" s="217">
        <f>IF([1]Summ!D1074="",0,[1]Summ!D1074)</f>
        <v>0</v>
      </c>
      <c r="D39" s="38">
        <f t="shared" si="17"/>
        <v>17095.815170008718</v>
      </c>
      <c r="E39" s="75">
        <f>Poor!E39</f>
        <v>1</v>
      </c>
      <c r="F39" s="75">
        <f>Poor!F39</f>
        <v>1.1100000000000001</v>
      </c>
      <c r="G39" s="22">
        <f t="shared" si="25"/>
        <v>1.1200000000000001</v>
      </c>
      <c r="H39" s="24">
        <f t="shared" si="18"/>
        <v>1.1100000000000001</v>
      </c>
      <c r="I39" s="39">
        <f t="shared" si="19"/>
        <v>18976.354838709678</v>
      </c>
      <c r="J39" s="38">
        <f t="shared" si="20"/>
        <v>18976.354838709682</v>
      </c>
      <c r="K39" s="40">
        <f t="shared" si="21"/>
        <v>0.58009305380213749</v>
      </c>
      <c r="L39" s="22">
        <f t="shared" si="22"/>
        <v>0.6439032897203727</v>
      </c>
      <c r="M39" s="24">
        <f t="shared" si="23"/>
        <v>0.64390328972037281</v>
      </c>
      <c r="N39" s="2"/>
      <c r="O39" s="2"/>
      <c r="P39" s="2"/>
      <c r="Q39" s="56" t="s">
        <v>149</v>
      </c>
      <c r="R39" s="246">
        <f>IF(R26&gt;R$23,R26-R$23,0)</f>
        <v>18815.303350291419</v>
      </c>
      <c r="S39" s="246">
        <f t="shared" ref="S39:T39" si="35">IF(S26&gt;S$23,S26-S$23,0)</f>
        <v>19022.326185578597</v>
      </c>
      <c r="T39" s="246">
        <f t="shared" si="35"/>
        <v>16788.051559183717</v>
      </c>
      <c r="U39" s="56"/>
      <c r="V39" s="56"/>
      <c r="W39" s="109"/>
      <c r="X39" s="117"/>
      <c r="Y39" s="109"/>
      <c r="Z39" s="155">
        <f>Poor!Z39</f>
        <v>0.25</v>
      </c>
      <c r="AA39" s="146">
        <f t="shared" si="30"/>
        <v>4744.0887096774204</v>
      </c>
      <c r="AB39" s="155">
        <f>Poor!AB39</f>
        <v>0.25</v>
      </c>
      <c r="AC39" s="146">
        <f t="shared" si="31"/>
        <v>4744.0887096774204</v>
      </c>
      <c r="AD39" s="155">
        <f>Poor!AD39</f>
        <v>0.25</v>
      </c>
      <c r="AE39" s="146">
        <f t="shared" si="32"/>
        <v>4744.0887096774204</v>
      </c>
      <c r="AF39" s="121">
        <f t="shared" si="24"/>
        <v>0.25</v>
      </c>
      <c r="AG39" s="146">
        <f t="shared" si="26"/>
        <v>4744.0887096774204</v>
      </c>
      <c r="AH39" s="122">
        <f t="shared" si="27"/>
        <v>1</v>
      </c>
      <c r="AI39" s="111">
        <f t="shared" si="27"/>
        <v>18976.354838709682</v>
      </c>
      <c r="AJ39" s="147">
        <f t="shared" si="28"/>
        <v>9488.1774193548408</v>
      </c>
      <c r="AK39" s="146">
        <f t="shared" si="29"/>
        <v>9488.1774193548408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5" ht="14" customHeight="1">
      <c r="A40" s="74" t="str">
        <f>IF(Poor!A40=0,"",Poor!A40)</f>
        <v/>
      </c>
      <c r="B40" s="217">
        <f>IF([1]Summ!C1075="",0,[1]Summ!C1075)</f>
        <v>0</v>
      </c>
      <c r="C40" s="217">
        <f>IF([1]Summ!D1075="",0,[1]Summ!D1075)</f>
        <v>0</v>
      </c>
      <c r="D40" s="38">
        <f t="shared" si="17"/>
        <v>0</v>
      </c>
      <c r="E40" s="75">
        <f>Poor!E40</f>
        <v>1</v>
      </c>
      <c r="F40" s="75">
        <f>Poor!F40</f>
        <v>1</v>
      </c>
      <c r="G40" s="22">
        <f t="shared" si="25"/>
        <v>1.1200000000000001</v>
      </c>
      <c r="H40" s="24">
        <f t="shared" si="18"/>
        <v>1</v>
      </c>
      <c r="I40" s="39">
        <f t="shared" si="19"/>
        <v>0</v>
      </c>
      <c r="J40" s="38">
        <f t="shared" si="20"/>
        <v>0</v>
      </c>
      <c r="K40" s="40">
        <f t="shared" si="21"/>
        <v>0</v>
      </c>
      <c r="L40" s="22">
        <f t="shared" si="22"/>
        <v>0</v>
      </c>
      <c r="M40" s="24">
        <f t="shared" si="23"/>
        <v>0</v>
      </c>
      <c r="N40" s="2"/>
      <c r="O40" s="2"/>
      <c r="P40" s="2"/>
      <c r="Q40" s="59" t="s">
        <v>150</v>
      </c>
      <c r="R40" s="246">
        <f>IF(R27&gt;R$23,R27-R$23,0)</f>
        <v>19319.608776376554</v>
      </c>
      <c r="S40" s="246">
        <f t="shared" ref="S40:T40" si="36">IF(S27&gt;S$23,S27-S$23,0)</f>
        <v>19515.166185578586</v>
      </c>
      <c r="T40" s="246">
        <f t="shared" si="36"/>
        <v>17280.891559183707</v>
      </c>
      <c r="U40" s="56"/>
      <c r="V40" s="56"/>
      <c r="W40" s="109"/>
      <c r="X40" s="117"/>
      <c r="Y40" s="109"/>
      <c r="Z40" s="155">
        <f>Poor!Z40</f>
        <v>0.25</v>
      </c>
      <c r="AA40" s="146">
        <f t="shared" si="30"/>
        <v>0</v>
      </c>
      <c r="AB40" s="155">
        <f>Poor!AB40</f>
        <v>0.25</v>
      </c>
      <c r="AC40" s="146">
        <f t="shared" si="31"/>
        <v>0</v>
      </c>
      <c r="AD40" s="155">
        <f>Poor!AD40</f>
        <v>0.25</v>
      </c>
      <c r="AE40" s="146">
        <f t="shared" si="32"/>
        <v>0</v>
      </c>
      <c r="AF40" s="121">
        <f t="shared" si="24"/>
        <v>0.25</v>
      </c>
      <c r="AG40" s="146">
        <f t="shared" si="26"/>
        <v>0</v>
      </c>
      <c r="AH40" s="122">
        <f t="shared" si="27"/>
        <v>1</v>
      </c>
      <c r="AI40" s="111">
        <f t="shared" si="27"/>
        <v>0</v>
      </c>
      <c r="AJ40" s="147">
        <f t="shared" si="28"/>
        <v>0</v>
      </c>
      <c r="AK40" s="146">
        <f t="shared" si="2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5" ht="14" customHeight="1">
      <c r="A41" s="74" t="str">
        <f>IF(Poor!A41=0,"",Poor!A41)</f>
        <v/>
      </c>
      <c r="B41" s="217">
        <f>IF([1]Summ!C1076="",0,[1]Summ!C1076)</f>
        <v>0</v>
      </c>
      <c r="C41" s="217">
        <f>IF([1]Summ!D1076="",0,[1]Summ!D1076)</f>
        <v>0</v>
      </c>
      <c r="D41" s="38">
        <f t="shared" si="17"/>
        <v>0</v>
      </c>
      <c r="E41" s="75">
        <f>Poor!E41</f>
        <v>1</v>
      </c>
      <c r="F41" s="75">
        <f>Poor!F41</f>
        <v>1</v>
      </c>
      <c r="G41" s="22">
        <f t="shared" si="25"/>
        <v>1.1200000000000001</v>
      </c>
      <c r="H41" s="24">
        <f t="shared" si="18"/>
        <v>1</v>
      </c>
      <c r="I41" s="39">
        <f t="shared" si="19"/>
        <v>0</v>
      </c>
      <c r="J41" s="38">
        <f t="shared" si="20"/>
        <v>0</v>
      </c>
      <c r="K41" s="40">
        <f t="shared" si="21"/>
        <v>0</v>
      </c>
      <c r="L41" s="22">
        <f t="shared" si="22"/>
        <v>0</v>
      </c>
      <c r="M41" s="24">
        <f t="shared" si="23"/>
        <v>0</v>
      </c>
      <c r="N41" s="2"/>
      <c r="O41" s="2"/>
      <c r="P41" s="2"/>
      <c r="Q41" s="2"/>
      <c r="R41" s="220"/>
      <c r="S41" s="2"/>
      <c r="T41" s="2"/>
      <c r="U41" s="56"/>
      <c r="V41" s="56"/>
      <c r="W41" s="109"/>
      <c r="X41" s="117"/>
      <c r="Y41" s="109"/>
      <c r="Z41" s="155">
        <f>Poor!Z41</f>
        <v>0.25</v>
      </c>
      <c r="AA41" s="146">
        <f t="shared" si="30"/>
        <v>0</v>
      </c>
      <c r="AB41" s="155">
        <f>Poor!AB41</f>
        <v>0.25</v>
      </c>
      <c r="AC41" s="146">
        <f t="shared" si="31"/>
        <v>0</v>
      </c>
      <c r="AD41" s="155">
        <f>Poor!AD41</f>
        <v>0.25</v>
      </c>
      <c r="AE41" s="146">
        <f t="shared" si="32"/>
        <v>0</v>
      </c>
      <c r="AF41" s="121">
        <f t="shared" si="24"/>
        <v>0.25</v>
      </c>
      <c r="AG41" s="146">
        <f t="shared" si="26"/>
        <v>0</v>
      </c>
      <c r="AH41" s="122">
        <f t="shared" si="27"/>
        <v>1</v>
      </c>
      <c r="AI41" s="111">
        <f t="shared" si="27"/>
        <v>0</v>
      </c>
      <c r="AJ41" s="147">
        <f t="shared" si="28"/>
        <v>0</v>
      </c>
      <c r="AK41" s="146">
        <f t="shared" si="2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5" ht="14" customHeight="1">
      <c r="A42" s="74" t="str">
        <f>IF(Poor!A42=0,"",Poor!A42)</f>
        <v/>
      </c>
      <c r="B42" s="217">
        <f>IF([1]Summ!C1077="",0,[1]Summ!C1077)</f>
        <v>0</v>
      </c>
      <c r="C42" s="217">
        <f>IF([1]Summ!D1077="",0,[1]Summ!D1077)</f>
        <v>0</v>
      </c>
      <c r="D42" s="38">
        <f t="shared" si="17"/>
        <v>0</v>
      </c>
      <c r="E42" s="75">
        <f>Poor!E42</f>
        <v>1</v>
      </c>
      <c r="F42" s="75">
        <f>Poor!F42</f>
        <v>1</v>
      </c>
      <c r="G42" s="22">
        <f t="shared" si="25"/>
        <v>1.1200000000000001</v>
      </c>
      <c r="H42" s="24">
        <f t="shared" si="18"/>
        <v>1</v>
      </c>
      <c r="I42" s="39">
        <f t="shared" si="19"/>
        <v>0</v>
      </c>
      <c r="J42" s="38">
        <f t="shared" si="20"/>
        <v>0</v>
      </c>
      <c r="K42" s="40">
        <f t="shared" si="21"/>
        <v>0</v>
      </c>
      <c r="L42" s="22">
        <f t="shared" si="22"/>
        <v>0</v>
      </c>
      <c r="M42" s="24">
        <f t="shared" si="23"/>
        <v>0</v>
      </c>
      <c r="N42" s="2"/>
      <c r="O42" s="2"/>
      <c r="P42" s="2"/>
      <c r="Q42" s="2"/>
      <c r="R42" s="221"/>
      <c r="S42" s="2"/>
      <c r="T42" s="2"/>
      <c r="U42" s="56"/>
      <c r="V42" s="56"/>
      <c r="W42" s="109"/>
      <c r="X42" s="117"/>
      <c r="Y42" s="109"/>
      <c r="Z42" s="155">
        <f>Poor!Z42</f>
        <v>0.25</v>
      </c>
      <c r="AA42" s="146">
        <f t="shared" si="30"/>
        <v>0</v>
      </c>
      <c r="AB42" s="155">
        <f>Poor!AB42</f>
        <v>0.25</v>
      </c>
      <c r="AC42" s="146">
        <f t="shared" si="31"/>
        <v>0</v>
      </c>
      <c r="AD42" s="155">
        <f>Poor!AD42</f>
        <v>0.25</v>
      </c>
      <c r="AE42" s="146">
        <f t="shared" si="32"/>
        <v>0</v>
      </c>
      <c r="AF42" s="121">
        <f t="shared" si="24"/>
        <v>0.25</v>
      </c>
      <c r="AG42" s="146">
        <f t="shared" si="26"/>
        <v>0</v>
      </c>
      <c r="AH42" s="122">
        <f t="shared" si="27"/>
        <v>1</v>
      </c>
      <c r="AI42" s="111">
        <f t="shared" si="27"/>
        <v>0</v>
      </c>
      <c r="AJ42" s="147">
        <f t="shared" si="28"/>
        <v>0</v>
      </c>
      <c r="AK42" s="146">
        <f t="shared" si="2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5" ht="14" customHeight="1">
      <c r="A43" s="74" t="str">
        <f>IF(Poor!A43=0,"",Poor!A43)</f>
        <v/>
      </c>
      <c r="B43" s="217">
        <f>IF([1]Summ!C1078="",0,[1]Summ!C1078)</f>
        <v>0</v>
      </c>
      <c r="C43" s="217">
        <f>IF([1]Summ!D1078="",0,[1]Summ!D1078)</f>
        <v>0</v>
      </c>
      <c r="D43" s="38">
        <f t="shared" si="17"/>
        <v>0</v>
      </c>
      <c r="E43" s="75">
        <f>Poor!E43</f>
        <v>1</v>
      </c>
      <c r="F43" s="75">
        <f>Poor!F43</f>
        <v>1</v>
      </c>
      <c r="G43" s="22">
        <f t="shared" si="25"/>
        <v>1.1200000000000001</v>
      </c>
      <c r="H43" s="24">
        <f t="shared" si="18"/>
        <v>1</v>
      </c>
      <c r="I43" s="39">
        <f t="shared" si="19"/>
        <v>0</v>
      </c>
      <c r="J43" s="38">
        <f t="shared" si="20"/>
        <v>0</v>
      </c>
      <c r="K43" s="40">
        <f t="shared" si="21"/>
        <v>0</v>
      </c>
      <c r="L43" s="22">
        <f t="shared" si="22"/>
        <v>0</v>
      </c>
      <c r="M43" s="24">
        <f t="shared" si="23"/>
        <v>0</v>
      </c>
      <c r="N43" s="2"/>
      <c r="O43" s="2"/>
      <c r="P43" s="2"/>
      <c r="Q43" s="2"/>
      <c r="R43" s="2"/>
      <c r="S43" s="2"/>
      <c r="T43" s="2"/>
      <c r="U43" s="56"/>
      <c r="V43" s="56"/>
      <c r="W43" s="109"/>
      <c r="X43" s="117"/>
      <c r="Y43" s="109"/>
      <c r="Z43" s="155">
        <f>Poor!Z43</f>
        <v>0.25</v>
      </c>
      <c r="AA43" s="146">
        <f t="shared" si="30"/>
        <v>0</v>
      </c>
      <c r="AB43" s="155">
        <f>Poor!AB43</f>
        <v>0.25</v>
      </c>
      <c r="AC43" s="146">
        <f t="shared" si="31"/>
        <v>0</v>
      </c>
      <c r="AD43" s="155">
        <f>Poor!AD43</f>
        <v>0.25</v>
      </c>
      <c r="AE43" s="146">
        <f t="shared" si="32"/>
        <v>0</v>
      </c>
      <c r="AF43" s="121">
        <f t="shared" si="24"/>
        <v>0.25</v>
      </c>
      <c r="AG43" s="146">
        <f t="shared" si="26"/>
        <v>0</v>
      </c>
      <c r="AH43" s="122">
        <f t="shared" si="27"/>
        <v>1</v>
      </c>
      <c r="AI43" s="111">
        <f t="shared" si="27"/>
        <v>0</v>
      </c>
      <c r="AJ43" s="147">
        <f t="shared" si="28"/>
        <v>0</v>
      </c>
      <c r="AK43" s="146">
        <f t="shared" si="2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5" ht="14" customHeight="1">
      <c r="A44" s="74" t="str">
        <f>IF(Poor!A44=0,"",Poor!A44)</f>
        <v/>
      </c>
      <c r="B44" s="217">
        <f>IF([1]Summ!C1079="",0,[1]Summ!C1079)</f>
        <v>0</v>
      </c>
      <c r="C44" s="217">
        <f>IF([1]Summ!D1079="",0,[1]Summ!D1079)</f>
        <v>0</v>
      </c>
      <c r="D44" s="38">
        <f t="shared" si="17"/>
        <v>0</v>
      </c>
      <c r="E44" s="75">
        <f>Poor!E44</f>
        <v>1</v>
      </c>
      <c r="F44" s="75">
        <f>Poor!F44</f>
        <v>1</v>
      </c>
      <c r="G44" s="22">
        <f t="shared" si="25"/>
        <v>1.1200000000000001</v>
      </c>
      <c r="H44" s="24">
        <f t="shared" si="18"/>
        <v>1</v>
      </c>
      <c r="I44" s="39">
        <f t="shared" si="19"/>
        <v>0</v>
      </c>
      <c r="J44" s="38">
        <f t="shared" si="20"/>
        <v>0</v>
      </c>
      <c r="K44" s="40">
        <f t="shared" si="21"/>
        <v>0</v>
      </c>
      <c r="L44" s="22">
        <f t="shared" si="22"/>
        <v>0</v>
      </c>
      <c r="M44" s="24">
        <f t="shared" si="23"/>
        <v>0</v>
      </c>
      <c r="N44" s="2"/>
      <c r="O44" s="2"/>
      <c r="P44" s="2"/>
      <c r="Q44" s="2"/>
      <c r="R44" s="221"/>
      <c r="S44" s="68"/>
      <c r="T44" s="2"/>
      <c r="U44" s="56"/>
      <c r="V44" s="56"/>
      <c r="W44" s="109"/>
      <c r="X44" s="117"/>
      <c r="Y44" s="109"/>
      <c r="Z44" s="155">
        <f>Poor!Z44</f>
        <v>0.25</v>
      </c>
      <c r="AA44" s="146">
        <f t="shared" si="30"/>
        <v>0</v>
      </c>
      <c r="AB44" s="155">
        <f>Poor!AB44</f>
        <v>0.25</v>
      </c>
      <c r="AC44" s="146">
        <f t="shared" si="31"/>
        <v>0</v>
      </c>
      <c r="AD44" s="155">
        <f>Poor!AD44</f>
        <v>0.25</v>
      </c>
      <c r="AE44" s="146">
        <f t="shared" si="32"/>
        <v>0</v>
      </c>
      <c r="AF44" s="121">
        <f t="shared" si="24"/>
        <v>0.25</v>
      </c>
      <c r="AG44" s="146">
        <f t="shared" si="26"/>
        <v>0</v>
      </c>
      <c r="AH44" s="122">
        <f t="shared" si="27"/>
        <v>1</v>
      </c>
      <c r="AI44" s="111">
        <f t="shared" si="27"/>
        <v>0</v>
      </c>
      <c r="AJ44" s="147">
        <f t="shared" si="28"/>
        <v>0</v>
      </c>
      <c r="AK44" s="146">
        <f t="shared" si="2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5" ht="14" customHeight="1">
      <c r="A45" s="74" t="str">
        <f>IF(Poor!A45=0,"",Poor!A45)</f>
        <v/>
      </c>
      <c r="B45" s="217">
        <f>IF([1]Summ!C1080="",0,[1]Summ!C1080)</f>
        <v>0</v>
      </c>
      <c r="C45" s="217">
        <f>IF([1]Summ!D1080="",0,[1]Summ!D1080)</f>
        <v>0</v>
      </c>
      <c r="D45" s="38">
        <f t="shared" si="17"/>
        <v>0</v>
      </c>
      <c r="E45" s="75">
        <f>Poor!E45</f>
        <v>1</v>
      </c>
      <c r="F45" s="75">
        <f>Poor!F45</f>
        <v>1</v>
      </c>
      <c r="G45" s="22">
        <f t="shared" si="25"/>
        <v>1.1200000000000001</v>
      </c>
      <c r="H45" s="24">
        <f t="shared" si="18"/>
        <v>1</v>
      </c>
      <c r="I45" s="39">
        <f t="shared" si="19"/>
        <v>0</v>
      </c>
      <c r="J45" s="38">
        <f t="shared" si="20"/>
        <v>0</v>
      </c>
      <c r="K45" s="40">
        <f t="shared" si="21"/>
        <v>0</v>
      </c>
      <c r="L45" s="22">
        <f t="shared" si="22"/>
        <v>0</v>
      </c>
      <c r="M45" s="24">
        <f t="shared" si="23"/>
        <v>0</v>
      </c>
      <c r="N45" s="2"/>
      <c r="O45" s="2"/>
      <c r="P45" s="2"/>
      <c r="Q45" s="2"/>
      <c r="R45" s="221"/>
      <c r="S45" s="68"/>
      <c r="T45" s="2"/>
      <c r="U45" s="56"/>
      <c r="V45" s="56"/>
      <c r="W45" s="109"/>
      <c r="X45" s="117"/>
      <c r="Y45" s="109"/>
      <c r="Z45" s="155">
        <f>Poor!Z45</f>
        <v>0.25</v>
      </c>
      <c r="AA45" s="146">
        <f t="shared" si="30"/>
        <v>0</v>
      </c>
      <c r="AB45" s="155">
        <f>Poor!AB45</f>
        <v>0.25</v>
      </c>
      <c r="AC45" s="146">
        <f t="shared" si="31"/>
        <v>0</v>
      </c>
      <c r="AD45" s="155">
        <f>Poor!AD45</f>
        <v>0.25</v>
      </c>
      <c r="AE45" s="146">
        <f t="shared" si="32"/>
        <v>0</v>
      </c>
      <c r="AF45" s="121">
        <f t="shared" si="24"/>
        <v>0.25</v>
      </c>
      <c r="AG45" s="146">
        <f t="shared" si="26"/>
        <v>0</v>
      </c>
      <c r="AH45" s="122">
        <f t="shared" si="27"/>
        <v>1</v>
      </c>
      <c r="AI45" s="111">
        <f t="shared" si="27"/>
        <v>0</v>
      </c>
      <c r="AJ45" s="147">
        <f t="shared" si="28"/>
        <v>0</v>
      </c>
      <c r="AK45" s="146">
        <f t="shared" si="2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5" ht="14" customHeight="1">
      <c r="A46" s="74" t="str">
        <f>IF(Poor!A46=0,"",Poor!A46)</f>
        <v/>
      </c>
      <c r="B46" s="217">
        <f>IF([1]Summ!C1081="",0,[1]Summ!C1081)</f>
        <v>0</v>
      </c>
      <c r="C46" s="217">
        <f>IF([1]Summ!D1081="",0,[1]Summ!D1081)</f>
        <v>0</v>
      </c>
      <c r="D46" s="38">
        <f t="shared" si="17"/>
        <v>0</v>
      </c>
      <c r="E46" s="75">
        <f>Poor!E46</f>
        <v>1</v>
      </c>
      <c r="F46" s="75">
        <f>Poor!F46</f>
        <v>1</v>
      </c>
      <c r="G46" s="22">
        <f t="shared" si="25"/>
        <v>1.1200000000000001</v>
      </c>
      <c r="H46" s="24">
        <f t="shared" si="18"/>
        <v>1</v>
      </c>
      <c r="I46" s="39">
        <f t="shared" si="19"/>
        <v>0</v>
      </c>
      <c r="J46" s="38">
        <f t="shared" si="20"/>
        <v>0</v>
      </c>
      <c r="K46" s="40">
        <f t="shared" si="21"/>
        <v>0</v>
      </c>
      <c r="L46" s="22">
        <f t="shared" si="22"/>
        <v>0</v>
      </c>
      <c r="M46" s="24">
        <f t="shared" si="23"/>
        <v>0</v>
      </c>
      <c r="N46" s="2"/>
      <c r="O46" s="2"/>
      <c r="P46" s="2"/>
      <c r="Q46" s="2"/>
      <c r="R46" s="221"/>
      <c r="S46" s="2"/>
      <c r="T46" s="2"/>
      <c r="U46" s="56"/>
      <c r="V46" s="56"/>
      <c r="W46" s="109"/>
      <c r="X46" s="117"/>
      <c r="Y46" s="109"/>
      <c r="Z46" s="155">
        <f>Poor!Z46</f>
        <v>0.25</v>
      </c>
      <c r="AA46" s="146">
        <f t="shared" si="30"/>
        <v>0</v>
      </c>
      <c r="AB46" s="155">
        <f>Poor!AB46</f>
        <v>0.25</v>
      </c>
      <c r="AC46" s="146">
        <f t="shared" si="31"/>
        <v>0</v>
      </c>
      <c r="AD46" s="155">
        <f>Poor!AD46</f>
        <v>0.25</v>
      </c>
      <c r="AE46" s="146">
        <f t="shared" si="32"/>
        <v>0</v>
      </c>
      <c r="AF46" s="121">
        <f t="shared" si="24"/>
        <v>0.25</v>
      </c>
      <c r="AG46" s="146">
        <f t="shared" si="26"/>
        <v>0</v>
      </c>
      <c r="AH46" s="122">
        <f t="shared" ref="AH46:AI51" si="37">SUM(Z46,AB46,AD46,AF46)</f>
        <v>1</v>
      </c>
      <c r="AI46" s="111">
        <f t="shared" si="37"/>
        <v>0</v>
      </c>
      <c r="AJ46" s="147">
        <f t="shared" si="28"/>
        <v>0</v>
      </c>
      <c r="AK46" s="146">
        <f t="shared" si="2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5" ht="14" customHeight="1">
      <c r="A47" s="74" t="str">
        <f>IF(Poor!A47=0,"",Poor!A47)</f>
        <v/>
      </c>
      <c r="B47" s="217">
        <f>IF([1]Summ!C1082="",0,[1]Summ!C1082)</f>
        <v>0</v>
      </c>
      <c r="C47" s="217">
        <f>IF([1]Summ!D1082="",0,[1]Summ!D1082)</f>
        <v>0</v>
      </c>
      <c r="D47" s="38">
        <f t="shared" si="17"/>
        <v>0</v>
      </c>
      <c r="E47" s="75">
        <f>Poor!E47</f>
        <v>1</v>
      </c>
      <c r="F47" s="75">
        <f>Poor!F47</f>
        <v>1</v>
      </c>
      <c r="G47" s="22">
        <f t="shared" si="25"/>
        <v>1.1200000000000001</v>
      </c>
      <c r="H47" s="24">
        <f t="shared" si="18"/>
        <v>1</v>
      </c>
      <c r="I47" s="39">
        <f t="shared" si="19"/>
        <v>0</v>
      </c>
      <c r="J47" s="38">
        <f t="shared" si="20"/>
        <v>0</v>
      </c>
      <c r="K47" s="40">
        <f t="shared" si="21"/>
        <v>0</v>
      </c>
      <c r="L47" s="22">
        <f t="shared" si="22"/>
        <v>0</v>
      </c>
      <c r="M47" s="24">
        <f t="shared" si="23"/>
        <v>0</v>
      </c>
      <c r="N47" s="2"/>
      <c r="O47" s="2"/>
      <c r="P47" s="2"/>
      <c r="Q47" s="2"/>
      <c r="R47" s="22"/>
      <c r="S47" s="2"/>
      <c r="T47" s="2"/>
      <c r="U47" s="56"/>
      <c r="V47" s="56"/>
      <c r="W47" s="109"/>
      <c r="X47" s="117"/>
      <c r="Y47" s="109"/>
      <c r="Z47" s="155">
        <f>Poor!Z47</f>
        <v>0.25</v>
      </c>
      <c r="AA47" s="146">
        <f t="shared" si="30"/>
        <v>0</v>
      </c>
      <c r="AB47" s="155">
        <f>Poor!AB47</f>
        <v>0.25</v>
      </c>
      <c r="AC47" s="146">
        <f t="shared" si="31"/>
        <v>0</v>
      </c>
      <c r="AD47" s="155">
        <f>Poor!AD47</f>
        <v>0.25</v>
      </c>
      <c r="AE47" s="146">
        <f t="shared" si="32"/>
        <v>0</v>
      </c>
      <c r="AF47" s="121">
        <f t="shared" si="24"/>
        <v>0.25</v>
      </c>
      <c r="AG47" s="146">
        <f t="shared" si="26"/>
        <v>0</v>
      </c>
      <c r="AH47" s="122">
        <f t="shared" si="37"/>
        <v>1</v>
      </c>
      <c r="AI47" s="111">
        <f t="shared" si="37"/>
        <v>0</v>
      </c>
      <c r="AJ47" s="147">
        <f t="shared" si="28"/>
        <v>0</v>
      </c>
      <c r="AK47" s="146">
        <f t="shared" si="2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5" ht="14" customHeight="1">
      <c r="A48" s="74" t="str">
        <f>IF(Poor!A48=0,"",Poor!A48)</f>
        <v/>
      </c>
      <c r="B48" s="217">
        <f>IF([1]Summ!C1083="",0,[1]Summ!C1083)</f>
        <v>0</v>
      </c>
      <c r="C48" s="217">
        <f>IF([1]Summ!D1083="",0,[1]Summ!D1083)</f>
        <v>0</v>
      </c>
      <c r="D48" s="38">
        <f t="shared" si="17"/>
        <v>0</v>
      </c>
      <c r="E48" s="75">
        <f>Poor!E48</f>
        <v>1</v>
      </c>
      <c r="F48" s="75">
        <f>Poor!F48</f>
        <v>1</v>
      </c>
      <c r="G48" s="22">
        <f t="shared" si="25"/>
        <v>1.1200000000000001</v>
      </c>
      <c r="H48" s="24">
        <f t="shared" si="18"/>
        <v>1</v>
      </c>
      <c r="I48" s="39">
        <f t="shared" si="19"/>
        <v>0</v>
      </c>
      <c r="J48" s="38">
        <f t="shared" si="20"/>
        <v>0</v>
      </c>
      <c r="K48" s="40">
        <f t="shared" si="21"/>
        <v>0</v>
      </c>
      <c r="L48" s="22">
        <f t="shared" si="22"/>
        <v>0</v>
      </c>
      <c r="M48" s="24">
        <f t="shared" si="23"/>
        <v>0</v>
      </c>
      <c r="N48" s="2"/>
      <c r="O48" s="2"/>
      <c r="P48" s="2"/>
      <c r="Q48" s="2"/>
      <c r="R48" s="175"/>
      <c r="S48" s="68"/>
      <c r="T48" s="2"/>
      <c r="U48" s="56"/>
      <c r="V48" s="56"/>
      <c r="W48" s="109"/>
      <c r="X48" s="117"/>
      <c r="Y48" s="109"/>
      <c r="Z48" s="155">
        <f>Poor!Z48</f>
        <v>0.25</v>
      </c>
      <c r="AA48" s="146">
        <f t="shared" si="30"/>
        <v>0</v>
      </c>
      <c r="AB48" s="155">
        <f>Poor!AB48</f>
        <v>0.25</v>
      </c>
      <c r="AC48" s="146">
        <f t="shared" si="31"/>
        <v>0</v>
      </c>
      <c r="AD48" s="155">
        <f>Poor!AD48</f>
        <v>0.25</v>
      </c>
      <c r="AE48" s="146">
        <f t="shared" si="32"/>
        <v>0</v>
      </c>
      <c r="AF48" s="121">
        <f t="shared" si="24"/>
        <v>0.25</v>
      </c>
      <c r="AG48" s="146">
        <f t="shared" si="26"/>
        <v>0</v>
      </c>
      <c r="AH48" s="122">
        <f t="shared" si="37"/>
        <v>1</v>
      </c>
      <c r="AI48" s="111">
        <f t="shared" si="37"/>
        <v>0</v>
      </c>
      <c r="AJ48" s="147">
        <f t="shared" si="28"/>
        <v>0</v>
      </c>
      <c r="AK48" s="146">
        <f t="shared" si="2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217">
        <f>IF([1]Summ!C1084="",0,[1]Summ!C1084)</f>
        <v>0</v>
      </c>
      <c r="C49" s="217">
        <f>IF([1]Summ!D1084="",0,[1]Summ!D1084)</f>
        <v>0</v>
      </c>
      <c r="D49" s="38">
        <f t="shared" si="17"/>
        <v>0</v>
      </c>
      <c r="E49" s="75">
        <f>Poor!E49</f>
        <v>1</v>
      </c>
      <c r="F49" s="75">
        <f>Poor!F49</f>
        <v>1</v>
      </c>
      <c r="G49" s="22">
        <f t="shared" si="25"/>
        <v>1.1200000000000001</v>
      </c>
      <c r="H49" s="24">
        <f t="shared" si="18"/>
        <v>1</v>
      </c>
      <c r="I49" s="39">
        <f t="shared" si="19"/>
        <v>0</v>
      </c>
      <c r="J49" s="38">
        <f t="shared" si="20"/>
        <v>0</v>
      </c>
      <c r="K49" s="40">
        <f t="shared" si="21"/>
        <v>0</v>
      </c>
      <c r="L49" s="22">
        <f t="shared" si="22"/>
        <v>0</v>
      </c>
      <c r="M49" s="24">
        <f t="shared" si="23"/>
        <v>0</v>
      </c>
      <c r="N49" s="2"/>
      <c r="O49" s="2"/>
      <c r="P49" s="2"/>
      <c r="Q49" s="2"/>
      <c r="R49" s="223"/>
      <c r="S49" s="2"/>
      <c r="T49" s="2"/>
      <c r="U49" s="56"/>
      <c r="V49" s="56"/>
      <c r="W49" s="109"/>
      <c r="X49" s="117"/>
      <c r="Y49" s="109"/>
      <c r="Z49" s="155">
        <f>Poor!Z49</f>
        <v>0.25</v>
      </c>
      <c r="AA49" s="146">
        <f t="shared" si="30"/>
        <v>0</v>
      </c>
      <c r="AB49" s="155">
        <f>Poor!AB49</f>
        <v>0.25</v>
      </c>
      <c r="AC49" s="146">
        <f t="shared" si="31"/>
        <v>0</v>
      </c>
      <c r="AD49" s="155">
        <f>Poor!AD49</f>
        <v>0.25</v>
      </c>
      <c r="AE49" s="146">
        <f t="shared" si="32"/>
        <v>0</v>
      </c>
      <c r="AF49" s="121">
        <f t="shared" si="24"/>
        <v>0.25</v>
      </c>
      <c r="AG49" s="146">
        <f t="shared" si="26"/>
        <v>0</v>
      </c>
      <c r="AH49" s="122">
        <f t="shared" si="37"/>
        <v>1</v>
      </c>
      <c r="AI49" s="111">
        <f t="shared" si="37"/>
        <v>0</v>
      </c>
      <c r="AJ49" s="147">
        <f t="shared" si="28"/>
        <v>0</v>
      </c>
      <c r="AK49" s="146">
        <f t="shared" si="2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217">
        <f>IF([1]Summ!C1085="",0,[1]Summ!C1085)</f>
        <v>0</v>
      </c>
      <c r="C50" s="217">
        <f>IF([1]Summ!D1085="",0,[1]Summ!D1085)</f>
        <v>0</v>
      </c>
      <c r="D50" s="38">
        <f t="shared" si="17"/>
        <v>0</v>
      </c>
      <c r="E50" s="75">
        <f>Poor!E50</f>
        <v>1</v>
      </c>
      <c r="F50" s="75">
        <f>Poor!F50</f>
        <v>1</v>
      </c>
      <c r="G50" s="22">
        <f t="shared" si="25"/>
        <v>1.1200000000000001</v>
      </c>
      <c r="H50" s="24">
        <f t="shared" si="18"/>
        <v>1</v>
      </c>
      <c r="I50" s="39">
        <f t="shared" si="19"/>
        <v>0</v>
      </c>
      <c r="J50" s="38">
        <f t="shared" si="20"/>
        <v>0</v>
      </c>
      <c r="K50" s="40">
        <f t="shared" si="21"/>
        <v>0</v>
      </c>
      <c r="L50" s="22">
        <f t="shared" si="22"/>
        <v>0</v>
      </c>
      <c r="M50" s="24">
        <f t="shared" si="23"/>
        <v>0</v>
      </c>
      <c r="N50" s="2"/>
      <c r="O50" s="2"/>
      <c r="P50" s="2"/>
      <c r="Q50" s="2"/>
      <c r="R50" s="2"/>
      <c r="S50" s="2"/>
      <c r="T50" s="2"/>
      <c r="U50" s="56"/>
      <c r="V50" s="56"/>
      <c r="W50" s="109"/>
      <c r="X50" s="117"/>
      <c r="Y50" s="109"/>
      <c r="Z50" s="155">
        <f>Poor!Z50</f>
        <v>0.25</v>
      </c>
      <c r="AA50" s="146">
        <f t="shared" si="30"/>
        <v>0</v>
      </c>
      <c r="AB50" s="155">
        <f>Poor!AB50</f>
        <v>0.25</v>
      </c>
      <c r="AC50" s="146">
        <f t="shared" si="31"/>
        <v>0</v>
      </c>
      <c r="AD50" s="155">
        <f>Poor!AD50</f>
        <v>0.25</v>
      </c>
      <c r="AE50" s="146">
        <f t="shared" si="32"/>
        <v>0</v>
      </c>
      <c r="AF50" s="121">
        <f t="shared" si="24"/>
        <v>0.25</v>
      </c>
      <c r="AG50" s="146">
        <f t="shared" si="26"/>
        <v>0</v>
      </c>
      <c r="AH50" s="122">
        <f t="shared" si="37"/>
        <v>1</v>
      </c>
      <c r="AI50" s="111">
        <f t="shared" si="37"/>
        <v>0</v>
      </c>
      <c r="AJ50" s="147">
        <f t="shared" si="28"/>
        <v>0</v>
      </c>
      <c r="AK50" s="146">
        <f t="shared" si="2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217">
        <f>IF([1]Summ!C1086="",0,[1]Summ!C1086)</f>
        <v>0</v>
      </c>
      <c r="C51" s="217">
        <f>IF([1]Summ!D1086="",0,[1]Summ!D1086)</f>
        <v>0</v>
      </c>
      <c r="D51" s="38">
        <f t="shared" si="17"/>
        <v>0</v>
      </c>
      <c r="E51" s="75">
        <f>Poor!E51</f>
        <v>1</v>
      </c>
      <c r="F51" s="75">
        <f>Poor!F51</f>
        <v>1</v>
      </c>
      <c r="G51" s="22">
        <f t="shared" si="25"/>
        <v>1.1200000000000001</v>
      </c>
      <c r="H51" s="24">
        <f t="shared" si="18"/>
        <v>1</v>
      </c>
      <c r="I51" s="39">
        <f t="shared" si="19"/>
        <v>0</v>
      </c>
      <c r="J51" s="38">
        <f t="shared" si="20"/>
        <v>0</v>
      </c>
      <c r="K51" s="40">
        <f t="shared" si="21"/>
        <v>0</v>
      </c>
      <c r="L51" s="22">
        <f t="shared" si="22"/>
        <v>0</v>
      </c>
      <c r="M51" s="24">
        <f t="shared" si="23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09"/>
      <c r="X51" s="117"/>
      <c r="Y51" s="109"/>
      <c r="Z51" s="155">
        <f>Poor!Z51</f>
        <v>0.25</v>
      </c>
      <c r="AA51" s="148">
        <f t="shared" si="30"/>
        <v>0</v>
      </c>
      <c r="AB51" s="155">
        <f>Poor!AB51</f>
        <v>0.25</v>
      </c>
      <c r="AC51" s="148">
        <f t="shared" si="31"/>
        <v>0</v>
      </c>
      <c r="AD51" s="155">
        <f>Poor!AD51</f>
        <v>0.25</v>
      </c>
      <c r="AE51" s="148">
        <f t="shared" si="32"/>
        <v>0</v>
      </c>
      <c r="AF51" s="149">
        <f t="shared" si="24"/>
        <v>0.25</v>
      </c>
      <c r="AG51" s="148">
        <f t="shared" si="26"/>
        <v>0</v>
      </c>
      <c r="AH51" s="122">
        <f t="shared" si="37"/>
        <v>1</v>
      </c>
      <c r="AI51" s="111">
        <f t="shared" si="37"/>
        <v>0</v>
      </c>
      <c r="AJ51" s="150">
        <f t="shared" si="28"/>
        <v>0</v>
      </c>
      <c r="AK51" s="148">
        <f t="shared" si="2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39" t="s">
        <v>32</v>
      </c>
      <c r="B52" s="39">
        <f>SUM(B29:B51)</f>
        <v>29470.815170008718</v>
      </c>
      <c r="C52" s="39">
        <f>SUM(C29:C51)</f>
        <v>1758</v>
      </c>
      <c r="D52" s="42">
        <f>SUM(D29:D51)</f>
        <v>31228.815170008718</v>
      </c>
      <c r="E52" s="32"/>
      <c r="F52" s="32"/>
      <c r="G52" s="32"/>
      <c r="H52" s="31"/>
      <c r="I52" s="39">
        <f>SUM(I29:I51)</f>
        <v>33844.392338709673</v>
      </c>
      <c r="J52" s="39">
        <f>SUM(J29:J51)</f>
        <v>33844.392338709687</v>
      </c>
      <c r="K52" s="40">
        <f>SUM(K29:K51)</f>
        <v>1</v>
      </c>
      <c r="L52" s="22">
        <f>SUM(L29:L51)</f>
        <v>1.0904208842995562</v>
      </c>
      <c r="M52" s="24">
        <f>SUM(M29:M51)</f>
        <v>1.1484036713430235</v>
      </c>
      <c r="N52" s="2"/>
      <c r="O52" s="2"/>
      <c r="P52" s="2"/>
      <c r="Q52" s="2"/>
      <c r="R52" s="2"/>
      <c r="S52" s="2"/>
      <c r="T52" s="2"/>
      <c r="U52" s="56"/>
      <c r="V52" s="56"/>
      <c r="W52" s="109"/>
      <c r="X52" s="151"/>
      <c r="Y52" s="109"/>
      <c r="Z52" s="136"/>
      <c r="AA52" s="152">
        <f>SUM(AA29:AA51)</f>
        <v>8311.0980846774219</v>
      </c>
      <c r="AB52" s="136"/>
      <c r="AC52" s="152">
        <f>SUM(AC29:AC51)</f>
        <v>7496.2887096774211</v>
      </c>
      <c r="AD52" s="136"/>
      <c r="AE52" s="152">
        <f>SUM(AE29:AE51)</f>
        <v>9125.9074596774208</v>
      </c>
      <c r="AF52" s="136"/>
      <c r="AG52" s="152">
        <f>SUM(AG29:AG51)</f>
        <v>8911.0980846774219</v>
      </c>
      <c r="AH52" s="136"/>
      <c r="AI52" s="152">
        <f>SUM(AI29:AI51)</f>
        <v>33844.392338709687</v>
      </c>
      <c r="AJ52" s="152">
        <f>SUM(AJ29:AJ51)</f>
        <v>15807.386794354843</v>
      </c>
      <c r="AK52" s="152">
        <f>SUM(AK29:AK51)</f>
        <v>18037.005544354841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3.5" customHeight="1">
      <c r="A53" s="78"/>
      <c r="B53" s="78"/>
      <c r="C53" s="78"/>
      <c r="D53" s="44"/>
      <c r="E53" s="14"/>
      <c r="F53" s="14"/>
      <c r="G53" s="14"/>
      <c r="H53" s="44"/>
      <c r="I53" s="14"/>
      <c r="J53" s="44"/>
      <c r="K53" s="45"/>
      <c r="L53" s="11"/>
      <c r="M53" s="10"/>
      <c r="N53" s="2"/>
      <c r="O53" s="2"/>
      <c r="P53" s="2"/>
      <c r="Q53" s="2"/>
      <c r="R53" s="2"/>
      <c r="S53" s="2"/>
      <c r="T53" s="2"/>
      <c r="U53" s="56"/>
      <c r="V53" s="56"/>
      <c r="W53" s="109"/>
      <c r="X53" s="117"/>
      <c r="Y53" s="109"/>
      <c r="Z53" s="142"/>
      <c r="AA53" s="153"/>
      <c r="AB53" s="142"/>
      <c r="AC53" s="153"/>
      <c r="AD53" s="142"/>
      <c r="AE53" s="153"/>
      <c r="AF53" s="142"/>
      <c r="AG53" s="153"/>
      <c r="AH53" s="142"/>
      <c r="AI53" s="153"/>
      <c r="AJ53" s="142"/>
      <c r="AK53" s="143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5.75" customHeight="1">
      <c r="A54" s="73" t="s">
        <v>55</v>
      </c>
      <c r="B54" s="39"/>
      <c r="C54" s="39"/>
      <c r="D54" s="38"/>
      <c r="E54" s="32"/>
      <c r="F54" s="32"/>
      <c r="G54" s="32"/>
      <c r="H54" s="31"/>
      <c r="I54" s="47"/>
      <c r="J54" s="48"/>
      <c r="K54" s="34" t="s">
        <v>34</v>
      </c>
      <c r="L54" s="2"/>
      <c r="M54" s="31"/>
      <c r="N54" s="2"/>
      <c r="O54" s="2"/>
      <c r="P54" s="2"/>
      <c r="Q54" s="2"/>
      <c r="R54" s="2"/>
      <c r="S54" s="2"/>
      <c r="T54" s="2"/>
      <c r="U54" s="56"/>
      <c r="V54" s="56"/>
      <c r="W54" s="109"/>
      <c r="X54" s="117"/>
      <c r="Y54" s="109"/>
      <c r="Z54" s="144"/>
      <c r="AA54" s="146"/>
      <c r="AB54" s="144"/>
      <c r="AC54" s="146"/>
      <c r="AD54" s="144"/>
      <c r="AE54" s="146"/>
      <c r="AF54" s="144"/>
      <c r="AG54" s="146"/>
      <c r="AH54" s="144"/>
      <c r="AI54" s="146"/>
      <c r="AJ54" s="144"/>
      <c r="AK54" s="145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9"/>
      <c r="B55" s="80" t="s">
        <v>7</v>
      </c>
      <c r="C55" s="39"/>
      <c r="D55" s="50"/>
      <c r="E55" s="19" t="s">
        <v>10</v>
      </c>
      <c r="F55" s="2" t="s">
        <v>28</v>
      </c>
      <c r="G55" s="2"/>
      <c r="H55" s="16" t="s">
        <v>12</v>
      </c>
      <c r="I55" s="19" t="s">
        <v>13</v>
      </c>
      <c r="J55" s="16" t="s">
        <v>14</v>
      </c>
      <c r="K55" s="37" t="s">
        <v>7</v>
      </c>
      <c r="L55" s="19" t="s">
        <v>15</v>
      </c>
      <c r="M55" s="16" t="s">
        <v>14</v>
      </c>
      <c r="N55" s="2"/>
      <c r="O55" s="2"/>
      <c r="P55" s="2"/>
      <c r="Q55" s="2"/>
      <c r="R55" s="2"/>
      <c r="S55" s="2"/>
      <c r="T55" s="2"/>
      <c r="U55" s="56"/>
      <c r="V55" s="56"/>
      <c r="W55" s="111"/>
      <c r="X55" s="117"/>
      <c r="Y55" s="109"/>
      <c r="Z55" s="144"/>
      <c r="AA55" s="146"/>
      <c r="AB55" s="144"/>
      <c r="AC55" s="146"/>
      <c r="AD55" s="144"/>
      <c r="AE55" s="146"/>
      <c r="AF55" s="144"/>
      <c r="AG55" s="146"/>
      <c r="AH55" s="144"/>
      <c r="AI55" s="146"/>
      <c r="AJ55" s="144"/>
      <c r="AK55" s="145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39" t="s">
        <v>30</v>
      </c>
      <c r="B56" s="80" t="s">
        <v>35</v>
      </c>
      <c r="C56" s="39"/>
      <c r="D56" s="38"/>
      <c r="E56" s="19" t="s">
        <v>18</v>
      </c>
      <c r="F56" s="2" t="s">
        <v>31</v>
      </c>
      <c r="G56" s="2"/>
      <c r="H56" s="16" t="s">
        <v>18</v>
      </c>
      <c r="I56" s="19" t="s">
        <v>35</v>
      </c>
      <c r="J56" s="16" t="s">
        <v>35</v>
      </c>
      <c r="K56" s="37" t="s">
        <v>35</v>
      </c>
      <c r="L56" s="19" t="s">
        <v>19</v>
      </c>
      <c r="M56" s="16" t="s">
        <v>35</v>
      </c>
      <c r="N56" s="2"/>
      <c r="O56" s="2"/>
      <c r="P56" s="2"/>
      <c r="Q56" s="2"/>
      <c r="R56" s="2"/>
      <c r="S56" s="2"/>
      <c r="T56" s="2"/>
      <c r="U56" s="56"/>
      <c r="V56" s="56"/>
      <c r="W56" s="109"/>
      <c r="X56" s="117"/>
      <c r="Y56" s="109"/>
      <c r="Z56" s="144"/>
      <c r="AA56" s="146"/>
      <c r="AB56" s="144"/>
      <c r="AC56" s="146"/>
      <c r="AD56" s="144"/>
      <c r="AE56" s="146"/>
      <c r="AF56" s="144"/>
      <c r="AG56" s="146"/>
      <c r="AH56" s="144"/>
      <c r="AI56" s="146"/>
      <c r="AJ56" s="144"/>
      <c r="AK56" s="145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109" t="s">
        <v>132</v>
      </c>
      <c r="B57" s="237">
        <f>[1]Summ!$C1031</f>
        <v>12690.969968712534</v>
      </c>
      <c r="C57" s="39"/>
      <c r="D57" s="38"/>
      <c r="E57" s="75">
        <f>Poor!E57</f>
        <v>1</v>
      </c>
      <c r="F57" s="75">
        <f>Poor!F57</f>
        <v>1.1399999999999999</v>
      </c>
      <c r="G57" s="22"/>
      <c r="H57" s="24">
        <f>(E57*F57)</f>
        <v>1.1399999999999999</v>
      </c>
      <c r="I57" s="39">
        <f>I106*I$70</f>
        <v>14467.705764332286</v>
      </c>
      <c r="J57" s="51">
        <f>J106*I$70</f>
        <v>14467.705764332286</v>
      </c>
      <c r="K57" s="40">
        <f t="shared" ref="K57:K62" si="38">B57/B$63</f>
        <v>0.4306283995031</v>
      </c>
      <c r="L57" s="22">
        <f t="shared" ref="L57:L62" si="39">(L106*G$29*F$9/F$7)/B$112</f>
        <v>0.49091637543353384</v>
      </c>
      <c r="M57" s="24">
        <f t="shared" ref="M57:M62" si="40">J57/B$63</f>
        <v>0.49091637543353389</v>
      </c>
      <c r="N57" s="2"/>
      <c r="O57" s="2"/>
      <c r="P57" s="2"/>
      <c r="Q57" s="2"/>
      <c r="R57" s="2"/>
      <c r="S57" s="2"/>
      <c r="T57" s="2"/>
      <c r="U57" s="56"/>
      <c r="V57" s="56"/>
      <c r="W57" s="109"/>
      <c r="X57" s="117"/>
      <c r="Y57" s="109"/>
      <c r="Z57" s="155">
        <f>Poor!Z57</f>
        <v>0.25</v>
      </c>
      <c r="AA57" s="146">
        <f>$J57*Z57</f>
        <v>3616.9264410830715</v>
      </c>
      <c r="AB57" s="155">
        <f>Poor!AB57</f>
        <v>0.25</v>
      </c>
      <c r="AC57" s="146">
        <f>$J57*AB57</f>
        <v>3616.9264410830715</v>
      </c>
      <c r="AD57" s="155">
        <f>Poor!AD57</f>
        <v>0.25</v>
      </c>
      <c r="AE57" s="146">
        <f>$J57*AD57</f>
        <v>3616.9264410830715</v>
      </c>
      <c r="AF57" s="155">
        <f>Poor!AF57</f>
        <v>0.25</v>
      </c>
      <c r="AG57" s="146">
        <f>$J57*AF57</f>
        <v>3616.9264410830715</v>
      </c>
      <c r="AH57" s="154">
        <f>SUM(Z57,AB57,AD57,AF57)</f>
        <v>1</v>
      </c>
      <c r="AI57" s="146">
        <f>SUM(AA57,AC57,AE57,AG57)</f>
        <v>14467.705764332286</v>
      </c>
      <c r="AJ57" s="147">
        <f>(AA57+AC57)</f>
        <v>7233.852882166143</v>
      </c>
      <c r="AK57" s="146">
        <f>(AE57+AG57)</f>
        <v>7233.852882166143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3.5" customHeight="1">
      <c r="A58" s="109" t="s">
        <v>133</v>
      </c>
      <c r="B58" s="237">
        <f>[1]Summ!$C1032</f>
        <v>9736.6666666666679</v>
      </c>
      <c r="C58" s="39"/>
      <c r="D58" s="38"/>
      <c r="E58" s="75">
        <f>Poor!E58</f>
        <v>1</v>
      </c>
      <c r="F58" s="75">
        <f>Poor!F58</f>
        <v>1.1100000000000001</v>
      </c>
      <c r="G58" s="22"/>
      <c r="H58" s="24">
        <f>(E58*F58)</f>
        <v>1.1100000000000001</v>
      </c>
      <c r="I58" s="39">
        <f>I107*I$70</f>
        <v>10807.700000000003</v>
      </c>
      <c r="J58" s="51">
        <f>J107*I$70</f>
        <v>10807.700000000003</v>
      </c>
      <c r="K58" s="40">
        <f t="shared" si="38"/>
        <v>0.33038335079971892</v>
      </c>
      <c r="L58" s="22">
        <f t="shared" si="39"/>
        <v>0.36672551938768805</v>
      </c>
      <c r="M58" s="24">
        <f t="shared" si="40"/>
        <v>0.36672551938768805</v>
      </c>
      <c r="O58" s="2"/>
      <c r="P58" s="2"/>
      <c r="Q58" s="2"/>
      <c r="R58" s="2"/>
      <c r="S58" s="2"/>
      <c r="T58" s="2"/>
      <c r="U58" s="56"/>
      <c r="V58" s="56"/>
      <c r="W58" s="109"/>
      <c r="X58" s="117"/>
      <c r="Y58" s="109"/>
      <c r="Z58" s="155">
        <f>Poor!Z58</f>
        <v>0.09</v>
      </c>
      <c r="AA58" s="146">
        <f>$H$58*$B$58*Z58</f>
        <v>972.69300000000021</v>
      </c>
      <c r="AB58" s="155">
        <f>Poor!AB58</f>
        <v>0.09</v>
      </c>
      <c r="AC58" s="146">
        <f>$H$58*$B$58*AB58</f>
        <v>972.69300000000021</v>
      </c>
      <c r="AD58" s="155">
        <f>Poor!AD58</f>
        <v>0.23</v>
      </c>
      <c r="AE58" s="146">
        <f>$H$58*$B$58*AD58</f>
        <v>2485.7710000000006</v>
      </c>
      <c r="AF58" s="155">
        <f>Poor!AF58</f>
        <v>0.59</v>
      </c>
      <c r="AG58" s="146">
        <f>$H$58*$B$58*AF58</f>
        <v>6376.5430000000015</v>
      </c>
      <c r="AH58" s="154">
        <f>SUM(Z58,AB58,AD58,AF58)</f>
        <v>1</v>
      </c>
      <c r="AI58" s="146">
        <f>SUM(AA58,AC58,AE58,AG58)</f>
        <v>10807.700000000003</v>
      </c>
      <c r="AJ58" s="147">
        <f>(AA58+AC58)</f>
        <v>1945.3860000000004</v>
      </c>
      <c r="AK58" s="146">
        <f>(AE58+AG58)</f>
        <v>8862.3140000000021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3.5" customHeight="1">
      <c r="A59" s="109" t="s">
        <v>134</v>
      </c>
      <c r="B59" s="237">
        <f>[1]Summ!$C1033</f>
        <v>17340</v>
      </c>
      <c r="C59" s="39"/>
      <c r="D59" s="38"/>
      <c r="E59" s="75">
        <f>Poor!E59</f>
        <v>1</v>
      </c>
      <c r="F59" s="75">
        <f>Poor!F59</f>
        <v>1.1100000000000001</v>
      </c>
      <c r="G59" s="22"/>
      <c r="H59" s="24">
        <f>(E59*F59)</f>
        <v>1.1100000000000001</v>
      </c>
      <c r="I59" s="39">
        <f t="shared" ref="I59:I60" si="41">I108*I$70</f>
        <v>0</v>
      </c>
      <c r="J59" s="51">
        <f t="shared" ref="J59:J60" si="42">J108*I$70</f>
        <v>4674.9897012492438</v>
      </c>
      <c r="K59" s="40">
        <f t="shared" si="38"/>
        <v>0.58837870279361093</v>
      </c>
      <c r="L59" s="22">
        <f t="shared" si="39"/>
        <v>4.3802694111074708E-2</v>
      </c>
      <c r="M59" s="24">
        <f t="shared" si="40"/>
        <v>0.15863116355216383</v>
      </c>
      <c r="O59" s="2"/>
      <c r="P59" s="2"/>
      <c r="Q59" s="2"/>
      <c r="R59" s="2"/>
      <c r="S59" s="2"/>
      <c r="T59" s="2"/>
      <c r="U59" s="56"/>
      <c r="V59" s="56"/>
      <c r="W59" s="109"/>
      <c r="X59" s="117"/>
      <c r="Y59" s="109"/>
      <c r="Z59" s="155"/>
      <c r="AA59" s="146"/>
      <c r="AB59" s="155"/>
      <c r="AC59" s="146"/>
      <c r="AD59" s="155"/>
      <c r="AE59" s="146"/>
      <c r="AF59" s="155"/>
      <c r="AG59" s="146"/>
      <c r="AH59" s="154"/>
      <c r="AI59" s="146"/>
      <c r="AJ59" s="147"/>
      <c r="AK59" s="146"/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3.5" customHeight="1">
      <c r="A60" s="109" t="s">
        <v>135</v>
      </c>
      <c r="B60" s="237">
        <f>[1]Summ!$C1034</f>
        <v>370</v>
      </c>
      <c r="C60" s="39"/>
      <c r="D60" s="38"/>
      <c r="E60" s="75">
        <f>Poor!E60</f>
        <v>1</v>
      </c>
      <c r="F60" s="75">
        <f>Poor!F60</f>
        <v>1.1100000000000001</v>
      </c>
      <c r="G60" s="22"/>
      <c r="H60" s="24">
        <f>(E60*F60)</f>
        <v>1.1100000000000001</v>
      </c>
      <c r="I60" s="39">
        <f t="shared" si="41"/>
        <v>0</v>
      </c>
      <c r="J60" s="51">
        <f t="shared" si="42"/>
        <v>0</v>
      </c>
      <c r="K60" s="40">
        <f t="shared" si="38"/>
        <v>1.2554793542885585E-2</v>
      </c>
      <c r="L60" s="22">
        <f t="shared" si="39"/>
        <v>0</v>
      </c>
      <c r="M60" s="24">
        <f t="shared" si="40"/>
        <v>0</v>
      </c>
      <c r="O60" s="2"/>
      <c r="P60" s="2"/>
      <c r="Q60" s="2"/>
      <c r="R60" s="2"/>
      <c r="S60" s="2"/>
      <c r="T60" s="2"/>
      <c r="U60" s="56"/>
      <c r="V60" s="56"/>
      <c r="W60" s="109"/>
      <c r="X60" s="117"/>
      <c r="Y60" s="109"/>
      <c r="Z60" s="155"/>
      <c r="AA60" s="146"/>
      <c r="AB60" s="155"/>
      <c r="AC60" s="146"/>
      <c r="AD60" s="155"/>
      <c r="AE60" s="146"/>
      <c r="AF60" s="155"/>
      <c r="AG60" s="146"/>
      <c r="AH60" s="154"/>
      <c r="AI60" s="146"/>
      <c r="AJ60" s="147"/>
      <c r="AK60" s="146"/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1" t="s">
        <v>36</v>
      </c>
      <c r="B61" s="52">
        <f>B22*B70</f>
        <v>5289.3563535911608</v>
      </c>
      <c r="C61" s="39"/>
      <c r="D61" s="38"/>
      <c r="E61" s="32"/>
      <c r="F61" s="32"/>
      <c r="G61" s="32"/>
      <c r="H61" s="31"/>
      <c r="I61" s="39">
        <f>I110*I$70</f>
        <v>8568.9865743773971</v>
      </c>
      <c r="J61" s="51">
        <f>J110*I$70</f>
        <v>3893.9968731281515</v>
      </c>
      <c r="K61" s="40">
        <f t="shared" si="38"/>
        <v>0.179477775659695</v>
      </c>
      <c r="L61" s="22">
        <f t="shared" si="39"/>
        <v>0.18897629536725963</v>
      </c>
      <c r="M61" s="24">
        <f t="shared" si="40"/>
        <v>0.13213061296963777</v>
      </c>
      <c r="O61" s="2"/>
      <c r="P61" s="2"/>
      <c r="Q61" s="2"/>
      <c r="R61" s="2"/>
      <c r="S61" s="2"/>
      <c r="T61" s="2"/>
      <c r="U61" s="56"/>
      <c r="V61" s="56"/>
      <c r="W61" s="109"/>
      <c r="X61" s="117"/>
      <c r="Y61" s="109"/>
      <c r="Z61" s="155"/>
      <c r="AA61" s="146">
        <f>AA22*$I$70/4</f>
        <v>498.70535315017815</v>
      </c>
      <c r="AB61" s="155"/>
      <c r="AC61" s="146">
        <f>AC22*$I$70/4</f>
        <v>633.07041018024427</v>
      </c>
      <c r="AD61" s="155"/>
      <c r="AE61" s="146">
        <f>AE22*$I$70/4</f>
        <v>786.16593217597188</v>
      </c>
      <c r="AF61" s="155"/>
      <c r="AG61" s="146">
        <f>AG22*$I$70/4</f>
        <v>786.16593217597188</v>
      </c>
      <c r="AH61" s="154"/>
      <c r="AI61" s="146">
        <f>SUM(AA61,AC61,AE61,AG61)</f>
        <v>2704.107627682366</v>
      </c>
      <c r="AJ61" s="147">
        <f>(AA61+AC61)</f>
        <v>1131.7757633304225</v>
      </c>
      <c r="AK61" s="146">
        <f>(AE61+AG61)</f>
        <v>1572.3318643519438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1" t="s">
        <v>56</v>
      </c>
      <c r="B62" s="52">
        <f>B63-B57-B58-B61</f>
        <v>1753.8221810383575</v>
      </c>
      <c r="C62" s="39"/>
      <c r="D62" s="38"/>
      <c r="E62" s="32"/>
      <c r="F62" s="32"/>
      <c r="G62" s="32"/>
      <c r="H62" s="31"/>
      <c r="I62" s="47"/>
      <c r="J62" s="51">
        <f>J111*I$70</f>
        <v>0</v>
      </c>
      <c r="K62" s="40">
        <f t="shared" si="38"/>
        <v>5.9510474037486175E-2</v>
      </c>
      <c r="L62" s="22">
        <f t="shared" si="39"/>
        <v>-9.6123443088896911E-17</v>
      </c>
      <c r="M62" s="24">
        <f t="shared" si="40"/>
        <v>0</v>
      </c>
      <c r="O62" s="2"/>
      <c r="P62" s="2"/>
      <c r="Q62" s="2"/>
      <c r="R62" s="2"/>
      <c r="S62" s="2"/>
      <c r="T62" s="2"/>
      <c r="U62" s="56"/>
      <c r="V62" s="56"/>
      <c r="W62" s="109"/>
      <c r="X62" s="156"/>
      <c r="Y62" s="160" t="s">
        <v>105</v>
      </c>
      <c r="Z62" s="157"/>
      <c r="AA62" s="148">
        <f>AA66-AA61</f>
        <v>8703.4720018625503</v>
      </c>
      <c r="AB62" s="157"/>
      <c r="AC62" s="148">
        <f>AA62+AC52-SUM(AC57,AC61)</f>
        <v>11949.763860276656</v>
      </c>
      <c r="AD62" s="157"/>
      <c r="AE62" s="148">
        <f>AC62+AE52-SUM(AE57,AE61)</f>
        <v>16672.57894669503</v>
      </c>
      <c r="AF62" s="157"/>
      <c r="AG62" s="148">
        <f>IF(SUM(AG6:AG21)+((AG52-AG57-$J$62)*4/I$70)&lt;1,0,AG52-AG57-$J$62-(1-SUM(AG6:AG21))*I$70/4)</f>
        <v>4508.0057114183792</v>
      </c>
      <c r="AH62" s="133"/>
      <c r="AI62" s="148">
        <f>AI63-SUM(AI57,AI61)</f>
        <v>16672.578946695037</v>
      </c>
      <c r="AJ62" s="150">
        <f>AJ63-SUM(AJ57,AJ61)</f>
        <v>7441.7581488582782</v>
      </c>
      <c r="AK62" s="148">
        <f>AJ62+AK63-SUM(AK57,AK61)</f>
        <v>16672.578946695034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 thickBot="1">
      <c r="A63" s="1" t="s">
        <v>32</v>
      </c>
      <c r="B63" s="52">
        <f>B52</f>
        <v>29470.815170008718</v>
      </c>
      <c r="C63" s="39"/>
      <c r="D63" s="38"/>
      <c r="E63" s="32"/>
      <c r="F63" s="32"/>
      <c r="G63" s="32"/>
      <c r="H63" s="31"/>
      <c r="I63" s="39">
        <f>I112*I$70</f>
        <v>33844.392338709687</v>
      </c>
      <c r="J63" s="51">
        <f>J112*I$70</f>
        <v>33844.392338709687</v>
      </c>
      <c r="K63" s="40">
        <f>SUM(K57:K62)</f>
        <v>1.6009334963364965</v>
      </c>
      <c r="L63" s="22">
        <f>SUM(L57:L62)</f>
        <v>1.0904208842995562</v>
      </c>
      <c r="M63" s="24">
        <f>SUM(M57:M62)</f>
        <v>1.1484036713430235</v>
      </c>
      <c r="O63" s="2"/>
      <c r="P63" s="2"/>
      <c r="Q63" s="2"/>
      <c r="R63" s="2"/>
      <c r="S63" s="2"/>
      <c r="T63" s="2"/>
      <c r="U63" s="56"/>
      <c r="V63" s="56"/>
      <c r="W63" s="109"/>
      <c r="X63" s="190"/>
      <c r="Y63" s="190"/>
      <c r="Z63" s="136"/>
      <c r="AA63" s="153">
        <f>AA52</f>
        <v>8311.0980846774219</v>
      </c>
      <c r="AB63" s="136"/>
      <c r="AC63" s="152">
        <f>AC52</f>
        <v>7496.2887096774211</v>
      </c>
      <c r="AD63" s="136"/>
      <c r="AE63" s="152">
        <f>AE52</f>
        <v>9125.9074596774208</v>
      </c>
      <c r="AF63" s="136"/>
      <c r="AG63" s="152">
        <f>AG52</f>
        <v>8911.0980846774219</v>
      </c>
      <c r="AH63" s="136"/>
      <c r="AI63" s="152">
        <f>SUM(AA63,AC63,AE63,AG63)</f>
        <v>33844.392338709687</v>
      </c>
      <c r="AJ63" s="153">
        <f>SUM(AA63,AC63)</f>
        <v>15807.386794354843</v>
      </c>
      <c r="AK63" s="153">
        <f>SUM(AE63,AG63)</f>
        <v>18037.005544354841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 thickBot="1">
      <c r="A64" s="98" t="s">
        <v>37</v>
      </c>
      <c r="B64" s="81"/>
      <c r="C64" s="39"/>
      <c r="D64" s="38"/>
      <c r="E64" s="32"/>
      <c r="F64" s="32"/>
      <c r="G64" s="32"/>
      <c r="H64" s="31"/>
      <c r="I64" s="39">
        <f>I113*I$70</f>
        <v>19658.100000000009</v>
      </c>
      <c r="J64" s="99">
        <f>J113*I$70</f>
        <v>14983.110298750758</v>
      </c>
      <c r="K64" s="40"/>
      <c r="L64" s="22">
        <f>-(L113*G$29*F$9/F$7)/B$112</f>
        <v>-0.62323348682243662</v>
      </c>
      <c r="M64" s="24">
        <f>-J64/B$63</f>
        <v>-0.50840501738134736</v>
      </c>
      <c r="O64" s="2"/>
      <c r="P64" s="2"/>
      <c r="Q64" s="2"/>
      <c r="R64" s="2"/>
      <c r="S64" s="2"/>
      <c r="T64" s="2"/>
      <c r="U64" s="56"/>
      <c r="V64" s="56"/>
      <c r="W64" s="109"/>
      <c r="X64" s="109"/>
      <c r="Y64" s="160" t="s">
        <v>103</v>
      </c>
      <c r="Z64" s="158"/>
      <c r="AA64" s="110">
        <f>AA23*$I$70/4</f>
        <v>0</v>
      </c>
      <c r="AB64" s="111"/>
      <c r="AC64" s="110">
        <f>AC23*$I$70/4</f>
        <v>0</v>
      </c>
      <c r="AD64" s="111"/>
      <c r="AE64" s="110">
        <f>AE23*$I$70/4</f>
        <v>0</v>
      </c>
      <c r="AF64" s="111"/>
      <c r="AG64" s="110">
        <f>AG23*$I$70/4</f>
        <v>0</v>
      </c>
      <c r="AH64" s="109"/>
      <c r="AI64" s="153">
        <f>SUM(AA64,AC64,AE64,AG64)</f>
        <v>0</v>
      </c>
      <c r="AJ64" s="152">
        <f>SUM(AA64,AC64)</f>
        <v>0</v>
      </c>
      <c r="AK64" s="159">
        <f>SUM(AE64,AG64)</f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82" t="s">
        <v>38</v>
      </c>
      <c r="B65" s="39"/>
      <c r="C65" s="39"/>
      <c r="D65" s="38"/>
      <c r="E65" s="32"/>
      <c r="F65" s="32"/>
      <c r="G65" s="32"/>
      <c r="H65" s="31"/>
      <c r="I65" s="47"/>
      <c r="J65" s="48"/>
      <c r="K65" s="32"/>
      <c r="L65" s="32"/>
      <c r="M65" s="48"/>
      <c r="N65" s="2"/>
      <c r="O65" s="2"/>
      <c r="P65" s="2"/>
      <c r="Q65" s="2"/>
      <c r="R65" s="2"/>
      <c r="S65" s="2"/>
      <c r="T65" s="2"/>
      <c r="U65" s="56"/>
      <c r="V65" s="56"/>
      <c r="W65" s="109"/>
      <c r="X65" s="109"/>
      <c r="Y65" s="160" t="s">
        <v>104</v>
      </c>
      <c r="Z65" s="109"/>
      <c r="AA65" s="111">
        <f>IF(SUM(AG6:AG21)+((AG52-AG57-$J$62)*4/I$70)&lt;1,0,AG52-AG57-$J$62-(1-SUM(AG6:AG21))*I$70/4)</f>
        <v>4508.0057114183792</v>
      </c>
      <c r="AB65" s="111"/>
      <c r="AC65" s="111">
        <f>IF(AA62&lt;0,0,AA62)</f>
        <v>8703.4720018625503</v>
      </c>
      <c r="AD65" s="111"/>
      <c r="AE65" s="111">
        <f>AC62</f>
        <v>11949.763860276656</v>
      </c>
      <c r="AF65" s="111"/>
      <c r="AG65" s="111">
        <f>AE62</f>
        <v>16672.57894669503</v>
      </c>
      <c r="AH65" s="109"/>
      <c r="AI65" s="145"/>
      <c r="AJ65" s="109"/>
      <c r="AK65" s="145"/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4" customHeight="1">
      <c r="A66" s="39" t="s">
        <v>39</v>
      </c>
      <c r="B66" s="234" t="str">
        <f>[1]Summ!C1037</f>
        <v>maize</v>
      </c>
      <c r="C66" s="39"/>
      <c r="D66" s="38"/>
      <c r="E66" s="32"/>
      <c r="F66" s="32"/>
      <c r="G66" s="32"/>
      <c r="H66" s="31"/>
      <c r="I66" s="47"/>
      <c r="J66" s="48"/>
      <c r="K66" s="32"/>
      <c r="L66" s="32"/>
      <c r="M66" s="48"/>
      <c r="N66" s="32"/>
      <c r="O66" s="2"/>
      <c r="P66" s="2"/>
      <c r="Q66" s="2"/>
      <c r="R66" s="2"/>
      <c r="S66" s="2"/>
      <c r="T66" s="2"/>
      <c r="U66" s="56"/>
      <c r="V66" s="56"/>
      <c r="W66" s="109"/>
      <c r="X66" s="109"/>
      <c r="Y66" s="160" t="s">
        <v>64</v>
      </c>
      <c r="Z66" s="109"/>
      <c r="AA66" s="111">
        <f>AA52-AA57+IF(SUM(AG6:AG21)+((AG52-AG57-$J$62)*4/I$70)&lt;1,0,AG52-AG57-$J$62-(1-SUM(AG6:AG21))*I$70/4)</f>
        <v>9202.1773550127291</v>
      </c>
      <c r="AB66" s="111"/>
      <c r="AC66" s="111">
        <f>AA66-AA61+AC52-AC57</f>
        <v>12582.8342704569</v>
      </c>
      <c r="AD66" s="111"/>
      <c r="AE66" s="111">
        <f>AC66-AC61+AE52-AE57</f>
        <v>17458.744878871003</v>
      </c>
      <c r="AF66" s="111"/>
      <c r="AG66" s="111">
        <f>AE66-AE61+AG52-AG57</f>
        <v>21966.750590289379</v>
      </c>
      <c r="AH66" s="109"/>
      <c r="AI66" s="145"/>
      <c r="AJ66" s="109"/>
      <c r="AK66" s="145"/>
      <c r="AS66" s="25"/>
      <c r="AT66" s="25"/>
      <c r="AU66" s="25"/>
      <c r="AV66" s="25"/>
      <c r="AW66" s="25"/>
      <c r="AX66" s="25"/>
      <c r="AZ66" s="25"/>
      <c r="BA66" s="25"/>
      <c r="BB66" s="25"/>
      <c r="BC66" s="25"/>
      <c r="BD66" s="25"/>
      <c r="BE66" s="25"/>
      <c r="BI66" s="25"/>
      <c r="BJ66" s="25"/>
      <c r="BK66" s="25"/>
      <c r="BL66" s="25"/>
      <c r="BM66" s="25"/>
      <c r="BN66" s="25"/>
      <c r="BP66" s="25"/>
      <c r="BQ66" s="25"/>
      <c r="BR66" s="25"/>
      <c r="BS66" s="25"/>
      <c r="BT66" s="25"/>
      <c r="BU66" s="25"/>
      <c r="BX66" s="25"/>
      <c r="BY66" s="25"/>
      <c r="BZ66" s="25"/>
      <c r="CA66" s="25"/>
      <c r="CB66" s="25"/>
      <c r="CC66" s="25"/>
      <c r="CE66" s="25"/>
      <c r="CF66" s="25"/>
      <c r="CG66" s="25"/>
      <c r="CH66" s="25"/>
      <c r="CI66" s="25"/>
      <c r="CJ66" s="25"/>
    </row>
    <row r="67" spans="1:88" ht="14" customHeight="1">
      <c r="A67" s="39" t="s">
        <v>40</v>
      </c>
      <c r="B67" s="234">
        <f>[1]Summ!C1038</f>
        <v>0.58061985920496251</v>
      </c>
      <c r="C67" s="39"/>
      <c r="D67" s="38"/>
      <c r="E67" s="32"/>
      <c r="F67" s="32"/>
      <c r="G67" s="32"/>
      <c r="H67" s="31"/>
      <c r="I67" s="47"/>
      <c r="J67" s="48"/>
      <c r="K67" s="32"/>
      <c r="L67" s="32"/>
      <c r="M67" s="48"/>
      <c r="N67" s="32"/>
      <c r="O67" s="2"/>
      <c r="P67" s="2"/>
      <c r="Q67" s="2"/>
      <c r="R67" s="2"/>
      <c r="S67" s="2"/>
      <c r="T67" s="2"/>
      <c r="U67" s="56"/>
      <c r="V67" s="56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45"/>
      <c r="AJ67" s="109"/>
      <c r="AK67" s="145"/>
      <c r="AS67" s="25"/>
      <c r="AT67" s="25"/>
      <c r="AU67" s="25"/>
      <c r="AV67" s="25"/>
      <c r="AW67" s="25"/>
      <c r="AX67" s="25"/>
      <c r="AZ67" s="25"/>
      <c r="BA67" s="25"/>
      <c r="BB67" s="25"/>
      <c r="BC67" s="25"/>
      <c r="BD67" s="25"/>
      <c r="BE67" s="25"/>
      <c r="BI67" s="25"/>
      <c r="BJ67" s="25"/>
      <c r="BK67" s="25"/>
      <c r="BL67" s="25"/>
      <c r="BM67" s="25"/>
      <c r="BN67" s="25"/>
      <c r="BP67" s="25"/>
      <c r="BQ67" s="25"/>
      <c r="BR67" s="25"/>
      <c r="BS67" s="25"/>
      <c r="BT67" s="25"/>
      <c r="BU67" s="25"/>
      <c r="BX67" s="25"/>
      <c r="BY67" s="25"/>
      <c r="BZ67" s="25"/>
      <c r="CA67" s="25"/>
      <c r="CB67" s="25"/>
      <c r="CC67" s="25"/>
      <c r="CE67" s="25"/>
      <c r="CF67" s="25"/>
      <c r="CG67" s="25"/>
      <c r="CH67" s="25"/>
      <c r="CI67" s="25"/>
      <c r="CJ67" s="25"/>
    </row>
    <row r="68" spans="1:88" ht="14" customHeight="1">
      <c r="A68" s="39" t="s">
        <v>41</v>
      </c>
      <c r="B68" s="234">
        <f>[1]Summ!C1039</f>
        <v>5</v>
      </c>
      <c r="C68" s="39"/>
      <c r="D68" s="38"/>
      <c r="E68" s="32"/>
      <c r="F68" s="32"/>
      <c r="G68" s="32"/>
      <c r="H68" s="31"/>
      <c r="I68" s="47"/>
      <c r="J68" s="48"/>
      <c r="K68" s="32"/>
      <c r="L68" s="32"/>
      <c r="M68" s="48"/>
      <c r="N68" s="32"/>
      <c r="O68" s="2"/>
      <c r="P68" s="2"/>
      <c r="Q68" s="2"/>
      <c r="R68" s="2"/>
      <c r="S68" s="2"/>
      <c r="T68" s="2"/>
      <c r="U68" s="56"/>
      <c r="V68" s="56"/>
      <c r="W68" s="109"/>
      <c r="X68" s="109"/>
      <c r="Y68" s="109"/>
      <c r="Z68" s="142" t="s">
        <v>65</v>
      </c>
      <c r="AA68" s="158"/>
      <c r="AB68" s="158"/>
      <c r="AC68" s="158"/>
      <c r="AD68" s="158"/>
      <c r="AE68" s="158"/>
      <c r="AF68" s="158"/>
      <c r="AG68" s="143"/>
      <c r="AH68" s="113" t="s">
        <v>66</v>
      </c>
      <c r="AI68" s="145"/>
      <c r="AJ68" s="109"/>
      <c r="AK68" s="145"/>
      <c r="AS68" s="25"/>
      <c r="AT68" s="25"/>
      <c r="AU68" s="25"/>
      <c r="AV68" s="25"/>
      <c r="AW68" s="25"/>
      <c r="AX68" s="25"/>
      <c r="AZ68" s="25"/>
      <c r="BA68" s="25"/>
      <c r="BB68" s="25"/>
      <c r="BC68" s="25"/>
      <c r="BD68" s="25"/>
      <c r="BE68" s="25"/>
      <c r="BI68" s="25"/>
      <c r="BJ68" s="25"/>
      <c r="BK68" s="25"/>
      <c r="BL68" s="25"/>
      <c r="BM68" s="25"/>
      <c r="BN68" s="25"/>
      <c r="BP68" s="25"/>
      <c r="BQ68" s="25"/>
      <c r="BR68" s="25"/>
      <c r="BS68" s="25"/>
      <c r="BT68" s="25"/>
      <c r="BU68" s="25"/>
      <c r="BX68" s="25"/>
      <c r="BY68" s="25"/>
      <c r="BZ68" s="25"/>
      <c r="CA68" s="25"/>
      <c r="CB68" s="25"/>
      <c r="CC68" s="25"/>
      <c r="CE68" s="25"/>
      <c r="CF68" s="25"/>
      <c r="CG68" s="25"/>
      <c r="CH68" s="25"/>
      <c r="CI68" s="25"/>
      <c r="CJ68" s="25"/>
    </row>
    <row r="69" spans="1:88" ht="14" customHeight="1">
      <c r="A69" s="39" t="s">
        <v>42</v>
      </c>
      <c r="B69" s="234">
        <f>[1]Summ!C1040</f>
        <v>5.375</v>
      </c>
      <c r="C69" s="39"/>
      <c r="D69" s="38"/>
      <c r="E69" s="32"/>
      <c r="F69" s="32"/>
      <c r="G69" s="32"/>
      <c r="H69" s="31"/>
      <c r="I69" s="47"/>
      <c r="J69" s="48"/>
      <c r="K69" s="32"/>
      <c r="L69" s="32"/>
      <c r="M69" s="48"/>
      <c r="N69" s="32"/>
      <c r="O69" s="2"/>
      <c r="P69" s="2"/>
      <c r="Q69" s="2"/>
      <c r="R69" s="2"/>
      <c r="S69" s="2"/>
      <c r="T69" s="2"/>
      <c r="U69" s="56"/>
      <c r="V69" s="56"/>
      <c r="X69" s="109"/>
      <c r="Y69" s="160" t="s">
        <v>67</v>
      </c>
      <c r="Z69" s="161">
        <f>IF($AH$69=0,0,AA69/$AH$69)</f>
        <v>1</v>
      </c>
      <c r="AA69" s="194">
        <f>Poor!AA69</f>
        <v>6.0200000000000005</v>
      </c>
      <c r="AB69" s="161">
        <f>IF($AH$69=0,0,AC69/$AH$69)</f>
        <v>1</v>
      </c>
      <c r="AC69" s="194">
        <f>Poor!AC69</f>
        <v>6.0200000000000005</v>
      </c>
      <c r="AD69" s="161">
        <f>IF($AH$69=0,0,AE69/$AH$69)</f>
        <v>1</v>
      </c>
      <c r="AE69" s="194">
        <f>Poor!AE69</f>
        <v>6.0200000000000005</v>
      </c>
      <c r="AF69" s="161">
        <f>IF($AH$69=0,0,AG69/$AH$69)</f>
        <v>1</v>
      </c>
      <c r="AG69" s="194">
        <f>Poor!AG69</f>
        <v>6.0200000000000005</v>
      </c>
      <c r="AH69" s="163">
        <f>IF(PRODUCT(AA69,AC69,AE69,AG69)=0,0,SUM(AA69,AC69,AE69,AG69)/4)</f>
        <v>6.0200000000000005</v>
      </c>
      <c r="AI69" s="145"/>
      <c r="AJ69" s="109"/>
      <c r="AK69" s="145"/>
      <c r="AS69" s="25"/>
      <c r="AT69" s="25"/>
      <c r="AU69" s="25"/>
      <c r="AV69" s="25"/>
      <c r="AW69" s="25"/>
      <c r="AX69" s="25"/>
      <c r="AZ69" s="25"/>
      <c r="BA69" s="25"/>
      <c r="BB69" s="25"/>
      <c r="BC69" s="25"/>
      <c r="BD69" s="25"/>
      <c r="BE69" s="25"/>
      <c r="BI69" s="25"/>
      <c r="BJ69" s="25"/>
      <c r="BK69" s="25"/>
      <c r="BL69" s="25"/>
      <c r="BM69" s="25"/>
      <c r="BN69" s="25"/>
      <c r="BP69" s="25"/>
      <c r="BQ69" s="25"/>
      <c r="BR69" s="25"/>
      <c r="BS69" s="25"/>
      <c r="BT69" s="25"/>
      <c r="BU69" s="25"/>
      <c r="BX69" s="25"/>
      <c r="BY69" s="25"/>
      <c r="BZ69" s="25"/>
      <c r="CA69" s="25"/>
      <c r="CB69" s="25"/>
      <c r="CC69" s="25"/>
      <c r="CE69" s="25"/>
      <c r="CF69" s="25"/>
      <c r="CG69" s="25"/>
      <c r="CH69" s="25"/>
      <c r="CI69" s="25"/>
      <c r="CJ69" s="25"/>
    </row>
    <row r="70" spans="1:88" ht="14" customHeight="1">
      <c r="A70" s="39" t="s">
        <v>43</v>
      </c>
      <c r="B70" s="39">
        <f>365*B67*B68*B69</f>
        <v>5695.5179313886792</v>
      </c>
      <c r="C70" s="39"/>
      <c r="D70" s="38"/>
      <c r="E70" s="32"/>
      <c r="F70" s="32"/>
      <c r="G70" s="32"/>
      <c r="H70" s="24">
        <f>G$29*F$9/F$7</f>
        <v>1.1200000000000001</v>
      </c>
      <c r="I70" s="39">
        <f xml:space="preserve"> B70*H70</f>
        <v>6378.9800831553212</v>
      </c>
      <c r="J70" s="48"/>
      <c r="K70" s="32"/>
      <c r="L70" s="32"/>
      <c r="M70" s="48"/>
      <c r="N70" s="32"/>
      <c r="O70" s="2"/>
      <c r="P70" s="2"/>
      <c r="Q70" s="2"/>
      <c r="R70" s="2"/>
      <c r="S70" s="2"/>
      <c r="T70" s="2"/>
      <c r="U70" s="56"/>
      <c r="V70" s="56"/>
      <c r="X70" s="109"/>
      <c r="Y70" s="160" t="s">
        <v>131</v>
      </c>
      <c r="Z70" s="109"/>
      <c r="AA70" s="164">
        <f>$I$70*Z69/4</f>
        <v>1594.7450207888303</v>
      </c>
      <c r="AB70" s="111"/>
      <c r="AC70" s="164">
        <f>$I$70*AB69/4</f>
        <v>1594.7450207888303</v>
      </c>
      <c r="AD70" s="111"/>
      <c r="AE70" s="164">
        <f>$I$70*AD69/4</f>
        <v>1594.7450207888303</v>
      </c>
      <c r="AF70" s="111"/>
      <c r="AG70" s="164">
        <f>$I$70*AF69/4</f>
        <v>1594.7450207888303</v>
      </c>
      <c r="AH70" s="164">
        <f>SUM(AA70,AC70,AE70,AG70)</f>
        <v>6378.9800831553212</v>
      </c>
      <c r="AI70" s="145"/>
      <c r="AJ70" s="109"/>
      <c r="AK70" s="145"/>
      <c r="AS70" s="25"/>
      <c r="AT70" s="25"/>
      <c r="AU70" s="25"/>
      <c r="AV70" s="25"/>
      <c r="AW70" s="25"/>
      <c r="AX70" s="25"/>
      <c r="AZ70" s="25"/>
      <c r="BA70" s="25"/>
      <c r="BB70" s="25"/>
      <c r="BC70" s="25"/>
      <c r="BD70" s="25"/>
      <c r="BE70" s="25"/>
      <c r="BI70" s="25"/>
      <c r="BJ70" s="25"/>
      <c r="BK70" s="25"/>
      <c r="BL70" s="25"/>
      <c r="BM70" s="25"/>
      <c r="BN70" s="25"/>
      <c r="BP70" s="25"/>
      <c r="BQ70" s="25"/>
      <c r="BR70" s="25"/>
      <c r="BS70" s="25"/>
      <c r="BT70" s="25"/>
      <c r="BU70" s="25"/>
      <c r="BX70" s="25"/>
      <c r="BY70" s="25"/>
      <c r="BZ70" s="25"/>
      <c r="CA70" s="25"/>
      <c r="CB70" s="25"/>
      <c r="CC70" s="25"/>
      <c r="CE70" s="25"/>
      <c r="CF70" s="25"/>
      <c r="CG70" s="25"/>
      <c r="CH70" s="25"/>
      <c r="CI70" s="25"/>
      <c r="CJ70" s="25"/>
    </row>
    <row r="71" spans="1:88" ht="14" customHeight="1" thickBot="1">
      <c r="A71" s="46" t="s">
        <v>142</v>
      </c>
      <c r="B71" s="246">
        <f>B57+((1-D21)*B70)</f>
        <v>16041.135719949451</v>
      </c>
      <c r="C71" s="46"/>
      <c r="D71" s="38"/>
      <c r="E71" s="32"/>
      <c r="F71" s="32"/>
      <c r="G71" s="32"/>
      <c r="H71" s="248">
        <f>IF(B71=0,0,I71/B71)</f>
        <v>1.1358230317232834</v>
      </c>
      <c r="I71" s="247">
        <f>(B57*H57)+((1-(D21*H21))*I70)</f>
        <v>18219.891405717637</v>
      </c>
      <c r="J71" s="48"/>
      <c r="K71" s="32"/>
      <c r="L71" s="32"/>
      <c r="M71" s="48"/>
      <c r="N71" s="32"/>
      <c r="O71" s="2"/>
      <c r="P71" s="2"/>
      <c r="Q71" s="2"/>
      <c r="R71" s="2"/>
      <c r="S71" s="2"/>
      <c r="T71" s="2"/>
      <c r="U71" s="56"/>
      <c r="V71" s="56"/>
      <c r="X71" s="109"/>
      <c r="Y71" s="160"/>
      <c r="Z71" s="109"/>
      <c r="AA71" s="109"/>
      <c r="AB71" s="109"/>
      <c r="AC71" s="109"/>
      <c r="AD71" s="109"/>
      <c r="AE71" s="109"/>
      <c r="AF71" s="109"/>
      <c r="AG71" s="109"/>
      <c r="AH71" s="109"/>
      <c r="AI71" s="145"/>
      <c r="AJ71" s="109"/>
      <c r="AK71" s="145"/>
      <c r="AS71" s="25"/>
      <c r="AT71" s="25"/>
      <c r="AU71" s="25"/>
      <c r="AV71" s="25"/>
      <c r="AW71" s="25"/>
      <c r="AX71" s="25"/>
      <c r="AZ71" s="25"/>
      <c r="BA71" s="25"/>
      <c r="BB71" s="25"/>
      <c r="BC71" s="25"/>
      <c r="BD71" s="25"/>
      <c r="BE71" s="25"/>
      <c r="BI71" s="25"/>
      <c r="BJ71" s="25"/>
      <c r="BK71" s="25"/>
      <c r="BL71" s="25"/>
      <c r="BM71" s="25"/>
      <c r="BN71" s="25"/>
      <c r="BP71" s="25"/>
      <c r="BQ71" s="25"/>
      <c r="BR71" s="25"/>
      <c r="BS71" s="25"/>
      <c r="BT71" s="25"/>
      <c r="BU71" s="25"/>
      <c r="BX71" s="25"/>
      <c r="BY71" s="25"/>
      <c r="BZ71" s="25"/>
      <c r="CA71" s="25"/>
      <c r="CB71" s="25"/>
      <c r="CC71" s="25"/>
      <c r="CE71" s="25"/>
      <c r="CF71" s="25"/>
      <c r="CG71" s="25"/>
      <c r="CH71" s="25"/>
      <c r="CI71" s="25"/>
      <c r="CJ71" s="25"/>
    </row>
    <row r="72" spans="1:88" ht="14" customHeight="1" thickBot="1">
      <c r="A72" s="39" t="s">
        <v>44</v>
      </c>
      <c r="B72" s="39"/>
      <c r="C72" s="39"/>
      <c r="D72" s="38"/>
      <c r="E72" s="32"/>
      <c r="F72" s="32"/>
      <c r="G72" s="32"/>
      <c r="H72" s="31"/>
      <c r="I72" s="47"/>
      <c r="J72" s="48"/>
      <c r="K72" s="32"/>
      <c r="L72" s="32"/>
      <c r="M72" s="48"/>
      <c r="N72" s="32"/>
      <c r="O72" s="2"/>
      <c r="P72" s="2"/>
      <c r="Q72" s="2"/>
      <c r="R72" s="2"/>
      <c r="S72" s="2"/>
      <c r="T72" s="2"/>
      <c r="U72" s="56"/>
      <c r="V72" s="56"/>
      <c r="X72" s="109"/>
      <c r="Y72" s="160"/>
      <c r="Z72" s="109"/>
      <c r="AA72" s="112"/>
      <c r="AB72" s="109"/>
      <c r="AC72" s="112"/>
      <c r="AD72" s="109"/>
      <c r="AE72" s="112"/>
      <c r="AF72" s="109"/>
      <c r="AG72" s="112"/>
      <c r="AH72" s="109"/>
      <c r="AI72" s="191"/>
      <c r="AJ72" s="192"/>
      <c r="AK72" s="193"/>
      <c r="AS72" s="25"/>
      <c r="AT72" s="25"/>
      <c r="AU72" s="25"/>
      <c r="AV72" s="25"/>
      <c r="AW72" s="25"/>
      <c r="AX72" s="25"/>
      <c r="AZ72" s="25"/>
      <c r="BA72" s="25"/>
      <c r="BB72" s="25"/>
      <c r="BC72" s="25"/>
      <c r="BD72" s="25"/>
      <c r="BE72" s="25"/>
      <c r="BI72" s="25"/>
      <c r="BJ72" s="25"/>
      <c r="BK72" s="25"/>
      <c r="BL72" s="25"/>
      <c r="BM72" s="25"/>
      <c r="BN72" s="25"/>
      <c r="BP72" s="25"/>
      <c r="BQ72" s="25"/>
      <c r="BR72" s="25"/>
      <c r="BS72" s="25"/>
      <c r="BT72" s="25"/>
      <c r="BU72" s="25"/>
      <c r="BX72" s="25"/>
      <c r="BY72" s="25"/>
      <c r="BZ72" s="25"/>
      <c r="CA72" s="25"/>
      <c r="CB72" s="25"/>
      <c r="CC72" s="25"/>
      <c r="CE72" s="25"/>
      <c r="CF72" s="25"/>
      <c r="CG72" s="25"/>
      <c r="CH72" s="25"/>
      <c r="CI72" s="25"/>
      <c r="CJ72" s="25"/>
    </row>
    <row r="73" spans="1:88" ht="14" customHeight="1">
      <c r="A73" s="105"/>
      <c r="B73" s="106"/>
      <c r="C73" s="39"/>
      <c r="D73" s="38"/>
      <c r="E73" s="32"/>
      <c r="F73" s="32"/>
      <c r="G73" s="32"/>
      <c r="H73" s="31"/>
      <c r="I73" s="47"/>
      <c r="J73" s="48"/>
      <c r="K73" s="32"/>
      <c r="L73" s="32"/>
      <c r="M73" s="48"/>
      <c r="N73" s="32"/>
      <c r="O73" s="2"/>
      <c r="P73" s="2"/>
      <c r="Q73" s="2"/>
      <c r="R73" s="2"/>
      <c r="S73" s="2"/>
      <c r="T73" s="2"/>
      <c r="U73" s="2"/>
      <c r="V73" s="2"/>
      <c r="W73" s="2"/>
      <c r="X73" s="2"/>
      <c r="Y73" s="56"/>
      <c r="Z73" s="56"/>
      <c r="AA73" s="41"/>
      <c r="AB73" s="56"/>
      <c r="AC73" s="41"/>
      <c r="AD73" s="56"/>
      <c r="AE73" s="41"/>
      <c r="AF73" s="56"/>
      <c r="AG73" s="41"/>
      <c r="AH73" s="67"/>
      <c r="AI73" s="67"/>
      <c r="AJ73" s="67"/>
      <c r="AS73" s="25"/>
      <c r="AT73" s="25"/>
      <c r="AU73" s="25"/>
      <c r="AV73" s="25"/>
      <c r="AW73" s="25"/>
      <c r="AX73" s="25"/>
      <c r="AZ73" s="25"/>
      <c r="BA73" s="25"/>
      <c r="BB73" s="25"/>
      <c r="BC73" s="25"/>
      <c r="BD73" s="25"/>
      <c r="BE73" s="25"/>
      <c r="BI73" s="25"/>
      <c r="BJ73" s="25"/>
      <c r="BK73" s="25"/>
      <c r="BL73" s="25"/>
      <c r="BM73" s="25"/>
      <c r="BN73" s="25"/>
      <c r="BP73" s="25"/>
      <c r="BQ73" s="25"/>
      <c r="BR73" s="25"/>
      <c r="BS73" s="25"/>
      <c r="BT73" s="25"/>
      <c r="BU73" s="25"/>
      <c r="BX73" s="25"/>
      <c r="BY73" s="25"/>
      <c r="BZ73" s="25"/>
      <c r="CA73" s="25"/>
      <c r="CB73" s="25"/>
      <c r="CC73" s="25"/>
      <c r="CE73" s="25"/>
      <c r="CF73" s="25"/>
      <c r="CG73" s="25"/>
      <c r="CH73" s="25"/>
      <c r="CI73" s="25"/>
      <c r="CJ73" s="25"/>
    </row>
    <row r="74" spans="1:88" ht="14" customHeight="1">
      <c r="A74" s="39" t="s">
        <v>124</v>
      </c>
      <c r="B74" s="75">
        <f>[1]Summ!$H$815</f>
        <v>0</v>
      </c>
      <c r="C74" s="14"/>
      <c r="D74" s="12"/>
      <c r="E74" s="14"/>
      <c r="F74" s="14"/>
      <c r="G74" s="14"/>
      <c r="H74" s="12"/>
      <c r="I74" s="14"/>
      <c r="J74" s="12"/>
      <c r="K74" s="14"/>
      <c r="L74" s="14"/>
      <c r="M74" s="10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59"/>
      <c r="Z74" s="56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S74" s="25"/>
      <c r="AT74" s="25"/>
      <c r="AU74" s="25"/>
      <c r="AV74" s="25"/>
      <c r="AW74" s="25"/>
      <c r="AX74" s="25"/>
      <c r="AZ74" s="25"/>
      <c r="BA74" s="25"/>
      <c r="BB74" s="25"/>
      <c r="BC74" s="25"/>
      <c r="BD74" s="25"/>
      <c r="BE74" s="25"/>
      <c r="BI74" s="25"/>
      <c r="BJ74" s="25"/>
      <c r="BK74" s="25"/>
      <c r="BL74" s="25"/>
      <c r="BM74" s="25"/>
      <c r="BN74" s="25"/>
      <c r="BP74" s="25"/>
      <c r="BQ74" s="25"/>
      <c r="BR74" s="25"/>
      <c r="BS74" s="25"/>
      <c r="BT74" s="25"/>
      <c r="BU74" s="25"/>
      <c r="BX74" s="25"/>
      <c r="BY74" s="25"/>
      <c r="BZ74" s="25"/>
      <c r="CA74" s="25"/>
      <c r="CB74" s="25"/>
      <c r="CC74" s="25"/>
      <c r="CE74" s="25"/>
      <c r="CF74" s="25"/>
      <c r="CG74" s="25"/>
      <c r="CH74" s="25"/>
      <c r="CI74" s="25"/>
      <c r="CJ74" s="25"/>
    </row>
    <row r="75" spans="1:88" ht="15.75" customHeight="1">
      <c r="A75" s="73" t="str">
        <f>A26</f>
        <v>Income : Very Poor HHs</v>
      </c>
      <c r="B75" s="2"/>
      <c r="C75" s="2"/>
      <c r="D75" s="31"/>
      <c r="E75" s="2"/>
      <c r="F75" s="2"/>
      <c r="G75" s="2"/>
      <c r="H75" s="17"/>
      <c r="I75" s="2"/>
      <c r="J75" s="33"/>
      <c r="M75" s="57"/>
      <c r="N75" s="58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S75" s="25"/>
      <c r="AT75" s="25"/>
      <c r="AU75" s="25"/>
      <c r="AV75" s="25"/>
      <c r="AW75" s="25"/>
      <c r="AX75" s="25"/>
      <c r="AZ75" s="25"/>
      <c r="BA75" s="25"/>
      <c r="BB75" s="25"/>
      <c r="BC75" s="25"/>
      <c r="BD75" s="25"/>
      <c r="BE75" s="25"/>
      <c r="BI75" s="25"/>
      <c r="BJ75" s="25"/>
      <c r="BK75" s="25"/>
      <c r="BL75" s="25"/>
      <c r="BM75" s="25"/>
      <c r="BN75" s="25"/>
      <c r="BP75" s="25"/>
      <c r="BQ75" s="25"/>
      <c r="BR75" s="25"/>
      <c r="BS75" s="25"/>
      <c r="BT75" s="25"/>
      <c r="BU75" s="25"/>
      <c r="BX75" s="25"/>
      <c r="BY75" s="25"/>
      <c r="BZ75" s="25"/>
      <c r="CA75" s="25"/>
      <c r="CB75" s="25"/>
      <c r="CC75" s="25"/>
      <c r="CE75" s="25"/>
      <c r="CF75" s="25"/>
      <c r="CG75" s="25"/>
      <c r="CH75" s="25"/>
      <c r="CI75" s="25"/>
      <c r="CJ75" s="25"/>
    </row>
    <row r="76" spans="1:88" ht="14" customHeight="1">
      <c r="A76" s="2"/>
      <c r="B76" s="19" t="s">
        <v>7</v>
      </c>
      <c r="C76" s="19" t="s">
        <v>8</v>
      </c>
      <c r="D76" s="16" t="s">
        <v>9</v>
      </c>
      <c r="H76" s="16" t="s">
        <v>12</v>
      </c>
      <c r="I76" s="19" t="s">
        <v>13</v>
      </c>
      <c r="J76" s="16" t="s">
        <v>14</v>
      </c>
      <c r="K76" s="19" t="s">
        <v>7</v>
      </c>
      <c r="L76" s="19" t="s">
        <v>15</v>
      </c>
      <c r="M76" s="57" t="str">
        <f t="shared" ref="M76:M101" si="43">(J76)</f>
        <v>Curr.</v>
      </c>
      <c r="N76" s="58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S76" s="25"/>
      <c r="AT76" s="25"/>
      <c r="AU76" s="25"/>
      <c r="AV76" s="25"/>
      <c r="AW76" s="25"/>
      <c r="AX76" s="25"/>
      <c r="AZ76" s="25"/>
      <c r="BA76" s="25"/>
      <c r="BB76" s="25"/>
      <c r="BC76" s="25"/>
      <c r="BD76" s="25"/>
      <c r="BE76" s="25"/>
      <c r="BI76" s="25"/>
      <c r="BJ76" s="25"/>
      <c r="BK76" s="25"/>
      <c r="BL76" s="25"/>
      <c r="BM76" s="25"/>
      <c r="BN76" s="25"/>
      <c r="BP76" s="25"/>
      <c r="BQ76" s="25"/>
      <c r="BR76" s="25"/>
      <c r="BS76" s="25"/>
      <c r="BT76" s="25"/>
      <c r="BU76" s="25"/>
      <c r="BX76" s="25"/>
      <c r="BY76" s="25"/>
      <c r="BZ76" s="25"/>
      <c r="CA76" s="25"/>
      <c r="CB76" s="25"/>
      <c r="CC76" s="25"/>
      <c r="CE76" s="25"/>
      <c r="CF76" s="25"/>
      <c r="CG76" s="25"/>
      <c r="CH76" s="25"/>
      <c r="CI76" s="25"/>
      <c r="CJ76" s="25"/>
    </row>
    <row r="77" spans="1:88" ht="14" customHeight="1">
      <c r="A77" s="2" t="s">
        <v>45</v>
      </c>
      <c r="B77" s="19" t="s">
        <v>16</v>
      </c>
      <c r="C77" s="19" t="s">
        <v>17</v>
      </c>
      <c r="D77" s="16" t="s">
        <v>16</v>
      </c>
      <c r="H77" s="16" t="s">
        <v>18</v>
      </c>
      <c r="I77" s="19" t="s">
        <v>16</v>
      </c>
      <c r="J77" s="16" t="s">
        <v>16</v>
      </c>
      <c r="K77" s="19" t="s">
        <v>16</v>
      </c>
      <c r="L77" s="19" t="s">
        <v>19</v>
      </c>
      <c r="M77" s="57" t="str">
        <f t="shared" si="43"/>
        <v>Access</v>
      </c>
      <c r="N77" s="58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S77" s="25"/>
      <c r="AT77" s="25"/>
      <c r="AU77" s="25"/>
      <c r="AV77" s="25"/>
      <c r="AW77" s="25"/>
      <c r="AX77" s="25"/>
      <c r="AZ77" s="25"/>
      <c r="BA77" s="25"/>
      <c r="BB77" s="25"/>
      <c r="BC77" s="25"/>
      <c r="BD77" s="25"/>
      <c r="BE77" s="25"/>
      <c r="BI77" s="25"/>
      <c r="BJ77" s="25"/>
      <c r="BK77" s="25"/>
      <c r="BL77" s="25"/>
      <c r="BM77" s="25"/>
      <c r="BN77" s="25"/>
      <c r="BP77" s="25"/>
      <c r="BQ77" s="25"/>
      <c r="BR77" s="25"/>
      <c r="BS77" s="25"/>
      <c r="BT77" s="25"/>
      <c r="BU77" s="25"/>
      <c r="BX77" s="25"/>
      <c r="BY77" s="25"/>
      <c r="BZ77" s="25"/>
      <c r="CA77" s="25"/>
      <c r="CB77" s="25"/>
      <c r="CC77" s="25"/>
      <c r="CE77" s="25"/>
      <c r="CF77" s="25"/>
      <c r="CG77" s="25"/>
      <c r="CH77" s="25"/>
      <c r="CI77" s="25"/>
      <c r="CJ77" s="25"/>
    </row>
    <row r="78" spans="1:88" ht="14" customHeight="1">
      <c r="A78" s="2" t="str">
        <f t="shared" ref="A78:A100" si="44">IF(A29="","",A29)</f>
        <v>Cattle sales - local: no. sold</v>
      </c>
      <c r="B78" s="75">
        <f t="shared" ref="B78:C100" si="45">(B29/$B$70)</f>
        <v>0</v>
      </c>
      <c r="C78" s="75">
        <f t="shared" si="45"/>
        <v>0</v>
      </c>
      <c r="D78" s="24">
        <f t="shared" ref="D78:D100" si="46">(B78+C78)</f>
        <v>0</v>
      </c>
      <c r="H78" s="24">
        <f t="shared" ref="H78:H100" si="47">(E29*F29/G29*F$7/F$9)</f>
        <v>0.99107142857142871</v>
      </c>
      <c r="I78" s="22">
        <f t="shared" ref="I78:I100" si="48">(D78*H78)</f>
        <v>0</v>
      </c>
      <c r="J78" s="24">
        <f t="shared" ref="J78:J86" si="49">IF(I$24&lt;=1+I$113,I78,L78+J$25*(I78-L78))</f>
        <v>0</v>
      </c>
      <c r="K78" s="22">
        <f t="shared" ref="K78:K100" si="50">(B78)</f>
        <v>0</v>
      </c>
      <c r="L78" s="22">
        <f t="shared" ref="L78:L100" si="51">(K78*H78)</f>
        <v>0</v>
      </c>
      <c r="M78" s="231">
        <f t="shared" si="43"/>
        <v>0</v>
      </c>
      <c r="N78" s="233">
        <v>5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S78" s="25"/>
      <c r="AT78" s="25"/>
      <c r="AU78" s="25"/>
      <c r="AV78" s="25"/>
      <c r="AW78" s="25"/>
      <c r="AX78" s="25"/>
      <c r="AZ78" s="25"/>
      <c r="BA78" s="25"/>
      <c r="BB78" s="25"/>
      <c r="BC78" s="25"/>
      <c r="BD78" s="25"/>
      <c r="BE78" s="25"/>
      <c r="BI78" s="25"/>
      <c r="BJ78" s="25"/>
      <c r="BK78" s="25"/>
      <c r="BL78" s="25"/>
      <c r="BM78" s="25"/>
      <c r="BN78" s="25"/>
      <c r="BP78" s="25"/>
      <c r="BQ78" s="25"/>
      <c r="BR78" s="25"/>
      <c r="BS78" s="25"/>
      <c r="BT78" s="25"/>
      <c r="BU78" s="25"/>
      <c r="BX78" s="25"/>
      <c r="BY78" s="25"/>
      <c r="BZ78" s="25"/>
      <c r="CA78" s="25"/>
      <c r="CB78" s="25"/>
      <c r="CC78" s="25"/>
      <c r="CE78" s="25"/>
      <c r="CF78" s="25"/>
      <c r="CG78" s="25"/>
      <c r="CH78" s="25"/>
      <c r="CI78" s="25"/>
      <c r="CJ78" s="25"/>
    </row>
    <row r="79" spans="1:88" ht="14" customHeight="1">
      <c r="A79" s="2" t="str">
        <f t="shared" si="44"/>
        <v>Goat sales - local: no. sold</v>
      </c>
      <c r="B79" s="75">
        <f t="shared" si="45"/>
        <v>0</v>
      </c>
      <c r="C79" s="75">
        <f t="shared" si="45"/>
        <v>0</v>
      </c>
      <c r="D79" s="24">
        <f t="shared" si="46"/>
        <v>0</v>
      </c>
      <c r="H79" s="24">
        <f t="shared" si="47"/>
        <v>0.9732142857142857</v>
      </c>
      <c r="I79" s="22">
        <f t="shared" si="48"/>
        <v>0</v>
      </c>
      <c r="J79" s="24">
        <f t="shared" si="49"/>
        <v>0</v>
      </c>
      <c r="K79" s="22">
        <f t="shared" si="50"/>
        <v>0</v>
      </c>
      <c r="L79" s="22">
        <f t="shared" si="51"/>
        <v>0</v>
      </c>
      <c r="M79" s="231">
        <f t="shared" si="43"/>
        <v>0</v>
      </c>
      <c r="N79" s="233">
        <v>5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2" t="str">
        <f t="shared" si="44"/>
        <v>Sheep sales - local: no. sold</v>
      </c>
      <c r="B80" s="75">
        <f t="shared" si="45"/>
        <v>0</v>
      </c>
      <c r="C80" s="75">
        <f t="shared" si="45"/>
        <v>0</v>
      </c>
      <c r="D80" s="24">
        <f t="shared" si="46"/>
        <v>0</v>
      </c>
      <c r="H80" s="24">
        <f t="shared" si="47"/>
        <v>0.9732142857142857</v>
      </c>
      <c r="I80" s="22">
        <f t="shared" si="48"/>
        <v>0</v>
      </c>
      <c r="J80" s="24">
        <f t="shared" si="49"/>
        <v>0</v>
      </c>
      <c r="K80" s="22">
        <f t="shared" si="50"/>
        <v>0</v>
      </c>
      <c r="L80" s="22">
        <f t="shared" si="51"/>
        <v>0</v>
      </c>
      <c r="M80" s="231">
        <f t="shared" si="43"/>
        <v>0</v>
      </c>
      <c r="N80" s="233">
        <v>5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2" t="str">
        <f t="shared" si="44"/>
        <v>Maize: kg produced</v>
      </c>
      <c r="B81" s="75">
        <f t="shared" si="45"/>
        <v>0</v>
      </c>
      <c r="C81" s="75">
        <f t="shared" si="45"/>
        <v>0</v>
      </c>
      <c r="D81" s="24">
        <f t="shared" si="46"/>
        <v>0</v>
      </c>
      <c r="H81" s="24">
        <f t="shared" si="47"/>
        <v>0.9107142857142857</v>
      </c>
      <c r="I81" s="22">
        <f t="shared" si="48"/>
        <v>0</v>
      </c>
      <c r="J81" s="24">
        <f t="shared" si="49"/>
        <v>0</v>
      </c>
      <c r="K81" s="22">
        <f t="shared" si="50"/>
        <v>0</v>
      </c>
      <c r="L81" s="22">
        <f t="shared" si="51"/>
        <v>0</v>
      </c>
      <c r="M81" s="232">
        <f t="shared" si="43"/>
        <v>0</v>
      </c>
      <c r="N81" s="233">
        <v>2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2" t="str">
        <f t="shared" si="44"/>
        <v>WILD FOODS -- see worksheet Data 3</v>
      </c>
      <c r="B82" s="75">
        <f t="shared" si="45"/>
        <v>0</v>
      </c>
      <c r="C82" s="75">
        <f t="shared" si="45"/>
        <v>0.13168249297691795</v>
      </c>
      <c r="D82" s="24">
        <f t="shared" si="46"/>
        <v>0.13168249297691795</v>
      </c>
      <c r="H82" s="24">
        <f t="shared" si="47"/>
        <v>0.7142857142857143</v>
      </c>
      <c r="I82" s="22">
        <f t="shared" si="48"/>
        <v>9.4058923554941387E-2</v>
      </c>
      <c r="J82" s="24">
        <f t="shared" si="49"/>
        <v>9.4058923554941387E-2</v>
      </c>
      <c r="K82" s="22">
        <f t="shared" si="50"/>
        <v>0</v>
      </c>
      <c r="L82" s="22">
        <f t="shared" si="51"/>
        <v>0</v>
      </c>
      <c r="M82" s="232">
        <f t="shared" si="43"/>
        <v>9.4058923554941387E-2</v>
      </c>
      <c r="N82" s="233">
        <v>6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2" t="str">
        <f t="shared" si="44"/>
        <v>Agricultural cash income -- see Data2</v>
      </c>
      <c r="B83" s="75">
        <f t="shared" si="45"/>
        <v>0.59257121839613081</v>
      </c>
      <c r="C83" s="75">
        <f t="shared" si="45"/>
        <v>0</v>
      </c>
      <c r="D83" s="24">
        <f t="shared" si="46"/>
        <v>0.59257121839613081</v>
      </c>
      <c r="H83" s="24">
        <f t="shared" si="47"/>
        <v>0.86223214285714289</v>
      </c>
      <c r="I83" s="22">
        <f t="shared" si="48"/>
        <v>0.51093395143316389</v>
      </c>
      <c r="J83" s="24">
        <f t="shared" si="49"/>
        <v>0.51093395143316389</v>
      </c>
      <c r="K83" s="22">
        <f t="shared" si="50"/>
        <v>0.59257121839613081</v>
      </c>
      <c r="L83" s="22">
        <f t="shared" si="51"/>
        <v>0.51093395143316389</v>
      </c>
      <c r="M83" s="232">
        <f t="shared" si="43"/>
        <v>0.51093395143316389</v>
      </c>
      <c r="N83" s="233">
        <v>7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>
      <c r="A84" s="2" t="str">
        <f t="shared" si="44"/>
        <v>Domestic work cash income -- see Data2</v>
      </c>
      <c r="B84" s="75">
        <f t="shared" si="45"/>
        <v>0.69528356291812676</v>
      </c>
      <c r="C84" s="75">
        <f t="shared" si="45"/>
        <v>0</v>
      </c>
      <c r="D84" s="24">
        <f t="shared" si="46"/>
        <v>0.69528356291812676</v>
      </c>
      <c r="H84" s="24">
        <f t="shared" si="47"/>
        <v>0.98214285714285721</v>
      </c>
      <c r="I84" s="22">
        <f t="shared" si="48"/>
        <v>0.68286778500887457</v>
      </c>
      <c r="J84" s="24">
        <f t="shared" si="49"/>
        <v>0.68286778500887457</v>
      </c>
      <c r="K84" s="22">
        <f t="shared" si="50"/>
        <v>0.69528356291812676</v>
      </c>
      <c r="L84" s="22">
        <f t="shared" si="51"/>
        <v>0.68286778500887457</v>
      </c>
      <c r="M84" s="232">
        <f t="shared" si="43"/>
        <v>0.68286778500887457</v>
      </c>
      <c r="N84" s="233">
        <v>7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>
      <c r="A85" s="2" t="str">
        <f t="shared" si="44"/>
        <v>Formal Employment (conservancies, etc.)</v>
      </c>
      <c r="B85" s="75">
        <f t="shared" si="45"/>
        <v>0</v>
      </c>
      <c r="C85" s="75">
        <f t="shared" si="45"/>
        <v>0</v>
      </c>
      <c r="D85" s="24">
        <f t="shared" si="46"/>
        <v>0</v>
      </c>
      <c r="H85" s="24">
        <f t="shared" si="47"/>
        <v>0.95535714285714279</v>
      </c>
      <c r="I85" s="22">
        <f t="shared" si="48"/>
        <v>0</v>
      </c>
      <c r="J85" s="24">
        <f t="shared" si="49"/>
        <v>0</v>
      </c>
      <c r="K85" s="22">
        <f t="shared" si="50"/>
        <v>0</v>
      </c>
      <c r="L85" s="22">
        <f t="shared" si="51"/>
        <v>0</v>
      </c>
      <c r="M85" s="232">
        <f t="shared" si="43"/>
        <v>0</v>
      </c>
      <c r="N85" s="233">
        <v>8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2" t="str">
        <f t="shared" si="44"/>
        <v>Self-employment -- see Data2</v>
      </c>
      <c r="B86" s="75">
        <f t="shared" si="45"/>
        <v>0.88490635280488861</v>
      </c>
      <c r="C86" s="75">
        <f t="shared" si="45"/>
        <v>0.17698127056097773</v>
      </c>
      <c r="D86" s="24">
        <f t="shared" si="46"/>
        <v>1.0618876233658663</v>
      </c>
      <c r="H86" s="24">
        <f t="shared" si="47"/>
        <v>0.98214285714285721</v>
      </c>
      <c r="I86" s="22">
        <f t="shared" si="48"/>
        <v>1.0429253443771902</v>
      </c>
      <c r="J86" s="24">
        <f t="shared" si="49"/>
        <v>1.0429253443771902</v>
      </c>
      <c r="K86" s="22">
        <f t="shared" si="50"/>
        <v>0.88490635280488861</v>
      </c>
      <c r="L86" s="22">
        <f t="shared" si="51"/>
        <v>0.86910445364765854</v>
      </c>
      <c r="M86" s="232">
        <f t="shared" si="43"/>
        <v>1.0429253443771902</v>
      </c>
      <c r="N86" s="233">
        <v>10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2" t="str">
        <f t="shared" si="44"/>
        <v>Small business -- see Data2</v>
      </c>
      <c r="B87" s="75">
        <f t="shared" si="45"/>
        <v>0</v>
      </c>
      <c r="C87" s="75">
        <f t="shared" si="45"/>
        <v>0</v>
      </c>
      <c r="D87" s="24">
        <f t="shared" si="46"/>
        <v>0</v>
      </c>
      <c r="H87" s="24">
        <f t="shared" si="47"/>
        <v>0.9375</v>
      </c>
      <c r="I87" s="22">
        <f t="shared" si="48"/>
        <v>0</v>
      </c>
      <c r="J87" s="24">
        <f>IF(I$24&lt;=1+I113,I87,L87+J$25*(I87-L87))</f>
        <v>0</v>
      </c>
      <c r="K87" s="22">
        <f t="shared" si="50"/>
        <v>0</v>
      </c>
      <c r="L87" s="22">
        <f t="shared" si="51"/>
        <v>0</v>
      </c>
      <c r="M87" s="232">
        <f t="shared" si="43"/>
        <v>0</v>
      </c>
      <c r="N87" s="233">
        <v>11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4" customHeight="1">
      <c r="A88" s="2" t="str">
        <f t="shared" si="44"/>
        <v>Social Cash Transfers -- see Data2</v>
      </c>
      <c r="B88" s="75">
        <f t="shared" si="45"/>
        <v>3.0016260814124807</v>
      </c>
      <c r="C88" s="75">
        <f t="shared" si="45"/>
        <v>0</v>
      </c>
      <c r="D88" s="24">
        <f t="shared" si="46"/>
        <v>3.0016260814124807</v>
      </c>
      <c r="H88" s="24">
        <f t="shared" si="47"/>
        <v>0.99107142857142871</v>
      </c>
      <c r="I88" s="22">
        <f t="shared" si="48"/>
        <v>2.9748258485427268</v>
      </c>
      <c r="J88" s="24">
        <f>IF(I$24&lt;=1+I113,I88,L88+J$25*(I88-L88))</f>
        <v>2.9748258485427268</v>
      </c>
      <c r="K88" s="22">
        <f t="shared" si="50"/>
        <v>3.0016260814124807</v>
      </c>
      <c r="L88" s="22">
        <f t="shared" si="51"/>
        <v>2.9748258485427268</v>
      </c>
      <c r="M88" s="231">
        <f t="shared" si="43"/>
        <v>2.9748258485427268</v>
      </c>
      <c r="N88" s="233">
        <v>14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 t="str">
        <f t="shared" si="44"/>
        <v/>
      </c>
      <c r="B89" s="75">
        <f t="shared" si="45"/>
        <v>0</v>
      </c>
      <c r="C89" s="75">
        <f t="shared" si="45"/>
        <v>0</v>
      </c>
      <c r="D89" s="24">
        <f t="shared" si="46"/>
        <v>0</v>
      </c>
      <c r="H89" s="24">
        <f t="shared" si="47"/>
        <v>0.89285714285714279</v>
      </c>
      <c r="I89" s="22">
        <f t="shared" si="48"/>
        <v>0</v>
      </c>
      <c r="J89" s="24">
        <f>IF(I$24&lt;=1+I113,I89,L89+J$25*(I89-L89))</f>
        <v>0</v>
      </c>
      <c r="K89" s="22">
        <f t="shared" si="50"/>
        <v>0</v>
      </c>
      <c r="L89" s="22">
        <f t="shared" si="51"/>
        <v>0</v>
      </c>
      <c r="M89" s="232">
        <f t="shared" si="43"/>
        <v>0</v>
      </c>
      <c r="N89" s="233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tr">
        <f t="shared" si="44"/>
        <v/>
      </c>
      <c r="B90" s="75">
        <f t="shared" si="45"/>
        <v>0</v>
      </c>
      <c r="C90" s="75">
        <f t="shared" si="45"/>
        <v>0</v>
      </c>
      <c r="D90" s="24">
        <f t="shared" si="46"/>
        <v>0</v>
      </c>
      <c r="H90" s="24">
        <f t="shared" si="47"/>
        <v>0.89285714285714279</v>
      </c>
      <c r="I90" s="22">
        <f t="shared" si="48"/>
        <v>0</v>
      </c>
      <c r="J90" s="24">
        <f>IF(I$24&lt;=1+I113,I90,L90+J$25*(I90-L90))</f>
        <v>0</v>
      </c>
      <c r="K90" s="22">
        <f t="shared" si="50"/>
        <v>0</v>
      </c>
      <c r="L90" s="22">
        <f t="shared" si="51"/>
        <v>0</v>
      </c>
      <c r="M90" s="232">
        <f t="shared" si="43"/>
        <v>0</v>
      </c>
      <c r="N90" s="233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si="44"/>
        <v/>
      </c>
      <c r="B91" s="75">
        <f t="shared" si="45"/>
        <v>0</v>
      </c>
      <c r="C91" s="75">
        <f t="shared" si="45"/>
        <v>0</v>
      </c>
      <c r="D91" s="24">
        <f t="shared" si="46"/>
        <v>0</v>
      </c>
      <c r="H91" s="24">
        <f t="shared" si="47"/>
        <v>0.89285714285714279</v>
      </c>
      <c r="I91" s="22">
        <f t="shared" si="48"/>
        <v>0</v>
      </c>
      <c r="J91" s="24">
        <f>IF(I$24&lt;=1+I113,I91,L91+J$25*(I91-L91))</f>
        <v>0</v>
      </c>
      <c r="K91" s="22">
        <f t="shared" si="50"/>
        <v>0</v>
      </c>
      <c r="L91" s="22">
        <f t="shared" si="51"/>
        <v>0</v>
      </c>
      <c r="M91" s="232">
        <f t="shared" si="43"/>
        <v>0</v>
      </c>
      <c r="N91" s="233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44"/>
        <v/>
      </c>
      <c r="B92" s="75">
        <f t="shared" si="45"/>
        <v>0</v>
      </c>
      <c r="C92" s="75">
        <f t="shared" si="45"/>
        <v>0</v>
      </c>
      <c r="D92" s="24">
        <f t="shared" si="46"/>
        <v>0</v>
      </c>
      <c r="H92" s="24">
        <f t="shared" si="47"/>
        <v>0.89285714285714279</v>
      </c>
      <c r="I92" s="22">
        <f t="shared" si="48"/>
        <v>0</v>
      </c>
      <c r="J92" s="24">
        <f>IF(I$24&lt;=1+I113,I92,L92+J$25*(I92-L92))</f>
        <v>0</v>
      </c>
      <c r="K92" s="22">
        <f t="shared" si="50"/>
        <v>0</v>
      </c>
      <c r="L92" s="22">
        <f t="shared" si="51"/>
        <v>0</v>
      </c>
      <c r="M92" s="232">
        <f t="shared" si="43"/>
        <v>0</v>
      </c>
      <c r="N92" s="233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4"/>
        <v/>
      </c>
      <c r="B93" s="75">
        <f t="shared" si="45"/>
        <v>0</v>
      </c>
      <c r="C93" s="75">
        <f t="shared" si="45"/>
        <v>0</v>
      </c>
      <c r="D93" s="24">
        <f t="shared" si="46"/>
        <v>0</v>
      </c>
      <c r="H93" s="24">
        <f t="shared" si="47"/>
        <v>0.89285714285714279</v>
      </c>
      <c r="I93" s="22">
        <f t="shared" si="48"/>
        <v>0</v>
      </c>
      <c r="J93" s="24">
        <f>IF(I$24&lt;=1+I114,I93,L93+J$25*(I93-L93))</f>
        <v>0</v>
      </c>
      <c r="K93" s="22">
        <f t="shared" si="50"/>
        <v>0</v>
      </c>
      <c r="L93" s="22">
        <f t="shared" si="51"/>
        <v>0</v>
      </c>
      <c r="M93" s="232">
        <f>(J93)</f>
        <v>0</v>
      </c>
      <c r="N93" s="233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4"/>
        <v/>
      </c>
      <c r="B94" s="75">
        <f t="shared" si="45"/>
        <v>0</v>
      </c>
      <c r="C94" s="75">
        <f t="shared" si="45"/>
        <v>0</v>
      </c>
      <c r="D94" s="24">
        <f t="shared" si="46"/>
        <v>0</v>
      </c>
      <c r="H94" s="24">
        <f t="shared" si="47"/>
        <v>0.89285714285714279</v>
      </c>
      <c r="I94" s="22">
        <f t="shared" si="48"/>
        <v>0</v>
      </c>
      <c r="J94" s="24">
        <f>IF(I$24&lt;=1+I115,I94,L94+J$25*(I94-L94))</f>
        <v>0</v>
      </c>
      <c r="K94" s="22">
        <f t="shared" si="50"/>
        <v>0</v>
      </c>
      <c r="L94" s="22">
        <f t="shared" si="51"/>
        <v>0</v>
      </c>
      <c r="M94" s="232">
        <f t="shared" si="43"/>
        <v>0</v>
      </c>
      <c r="N94" s="233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4"/>
        <v/>
      </c>
      <c r="B95" s="75">
        <f t="shared" si="45"/>
        <v>0</v>
      </c>
      <c r="C95" s="75">
        <f t="shared" si="45"/>
        <v>0</v>
      </c>
      <c r="D95" s="24">
        <f t="shared" si="46"/>
        <v>0</v>
      </c>
      <c r="H95" s="24">
        <f t="shared" si="47"/>
        <v>0.89285714285714279</v>
      </c>
      <c r="I95" s="22">
        <f t="shared" si="48"/>
        <v>0</v>
      </c>
      <c r="J95" s="24">
        <f>IF(I$24&lt;=1+I116,I95,L95+J$25*(I95-L95))</f>
        <v>0</v>
      </c>
      <c r="K95" s="22">
        <f t="shared" si="50"/>
        <v>0</v>
      </c>
      <c r="L95" s="22">
        <f t="shared" si="51"/>
        <v>0</v>
      </c>
      <c r="M95" s="232">
        <f t="shared" si="43"/>
        <v>0</v>
      </c>
      <c r="N95" s="233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4"/>
        <v/>
      </c>
      <c r="B96" s="75">
        <f t="shared" si="45"/>
        <v>0</v>
      </c>
      <c r="C96" s="75">
        <f t="shared" si="45"/>
        <v>0</v>
      </c>
      <c r="D96" s="24">
        <f t="shared" si="46"/>
        <v>0</v>
      </c>
      <c r="H96" s="24">
        <f t="shared" si="47"/>
        <v>0.89285714285714279</v>
      </c>
      <c r="I96" s="22">
        <f t="shared" si="48"/>
        <v>0</v>
      </c>
      <c r="J96" s="24">
        <f>IF(I$24&lt;=1+I113,I96,L96+J$25*(I96-L96))</f>
        <v>0</v>
      </c>
      <c r="K96" s="22">
        <f t="shared" si="50"/>
        <v>0</v>
      </c>
      <c r="L96" s="22">
        <f t="shared" si="51"/>
        <v>0</v>
      </c>
      <c r="M96" s="231">
        <f>(J96)</f>
        <v>0</v>
      </c>
      <c r="N96" s="233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4"/>
        <v/>
      </c>
      <c r="B97" s="75">
        <f t="shared" si="45"/>
        <v>0</v>
      </c>
      <c r="C97" s="75">
        <f t="shared" si="45"/>
        <v>0</v>
      </c>
      <c r="D97" s="24">
        <f t="shared" si="46"/>
        <v>0</v>
      </c>
      <c r="H97" s="24">
        <f t="shared" si="47"/>
        <v>0.89285714285714279</v>
      </c>
      <c r="I97" s="22">
        <f t="shared" si="48"/>
        <v>0</v>
      </c>
      <c r="J97" s="24">
        <f>IF(I$24&lt;=1+I114,I97,L97+J$25*(I97-L97))</f>
        <v>0</v>
      </c>
      <c r="K97" s="22">
        <f t="shared" si="50"/>
        <v>0</v>
      </c>
      <c r="L97" s="22">
        <f t="shared" si="51"/>
        <v>0</v>
      </c>
      <c r="M97" s="231">
        <f t="shared" si="43"/>
        <v>0</v>
      </c>
      <c r="N97" s="233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4"/>
        <v/>
      </c>
      <c r="B98" s="75">
        <f t="shared" si="45"/>
        <v>0</v>
      </c>
      <c r="C98" s="75">
        <f t="shared" si="45"/>
        <v>0</v>
      </c>
      <c r="D98" s="24">
        <f t="shared" si="46"/>
        <v>0</v>
      </c>
      <c r="H98" s="24">
        <f t="shared" si="47"/>
        <v>0.89285714285714279</v>
      </c>
      <c r="I98" s="22">
        <f t="shared" si="48"/>
        <v>0</v>
      </c>
      <c r="J98" s="24">
        <f>IF(I$24&lt;=1+I115,I98,L98+J$25*(I98-L98))</f>
        <v>0</v>
      </c>
      <c r="K98" s="22">
        <f t="shared" si="50"/>
        <v>0</v>
      </c>
      <c r="L98" s="22">
        <f t="shared" si="51"/>
        <v>0</v>
      </c>
      <c r="M98" s="57">
        <f t="shared" si="43"/>
        <v>0</v>
      </c>
      <c r="N98" s="233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4"/>
        <v/>
      </c>
      <c r="B99" s="75">
        <f t="shared" si="45"/>
        <v>0</v>
      </c>
      <c r="C99" s="75">
        <f t="shared" si="45"/>
        <v>0</v>
      </c>
      <c r="D99" s="24">
        <f t="shared" si="46"/>
        <v>0</v>
      </c>
      <c r="H99" s="24">
        <f t="shared" si="47"/>
        <v>0.89285714285714279</v>
      </c>
      <c r="I99" s="22">
        <f t="shared" si="48"/>
        <v>0</v>
      </c>
      <c r="J99" s="24">
        <f>IF(I$24&lt;=1+I116,I99,L99+J$25*(I99-L99))</f>
        <v>0</v>
      </c>
      <c r="K99" s="22">
        <f t="shared" si="50"/>
        <v>0</v>
      </c>
      <c r="L99" s="22">
        <f t="shared" si="51"/>
        <v>0</v>
      </c>
      <c r="M99" s="57">
        <f t="shared" si="43"/>
        <v>0</v>
      </c>
      <c r="N99" s="233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4"/>
        <v/>
      </c>
      <c r="B100" s="75">
        <f t="shared" si="45"/>
        <v>0</v>
      </c>
      <c r="C100" s="75">
        <f t="shared" si="45"/>
        <v>0</v>
      </c>
      <c r="D100" s="24">
        <f t="shared" si="46"/>
        <v>0</v>
      </c>
      <c r="H100" s="24">
        <f t="shared" si="47"/>
        <v>0.89285714285714279</v>
      </c>
      <c r="I100" s="22">
        <f t="shared" si="48"/>
        <v>0</v>
      </c>
      <c r="J100" s="24">
        <f>IF(I$24&lt;=1+I113,I100,L100+J$25*(I100-L100))</f>
        <v>0</v>
      </c>
      <c r="K100" s="22">
        <f t="shared" si="50"/>
        <v>0</v>
      </c>
      <c r="L100" s="22">
        <f t="shared" si="51"/>
        <v>0</v>
      </c>
      <c r="M100" s="57">
        <f t="shared" si="43"/>
        <v>0</v>
      </c>
      <c r="N100" s="233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">
        <v>32</v>
      </c>
      <c r="B101" s="22">
        <f>SUM(B78:B100)</f>
        <v>5.1743872155316275</v>
      </c>
      <c r="C101" s="22">
        <f>SUM(C78:C100)</f>
        <v>0.30866376353789571</v>
      </c>
      <c r="D101" s="24">
        <f>SUM(D78:D100)</f>
        <v>5.4830509790695228</v>
      </c>
      <c r="E101" s="22"/>
      <c r="F101" s="2"/>
      <c r="G101" s="2"/>
      <c r="H101" s="31"/>
      <c r="I101" s="22">
        <f>SUM(I78:I100)</f>
        <v>5.305611852916897</v>
      </c>
      <c r="J101" s="24">
        <f>SUM(J78:J100)</f>
        <v>5.305611852916897</v>
      </c>
      <c r="K101" s="22">
        <f>SUM(K78:K100)</f>
        <v>5.1743872155316275</v>
      </c>
      <c r="L101" s="22">
        <f>SUM(L78:L100)</f>
        <v>5.0377320386324236</v>
      </c>
      <c r="M101" s="57">
        <f t="shared" si="43"/>
        <v>5.305611852916897</v>
      </c>
      <c r="N101" s="22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83"/>
      <c r="B102" s="83"/>
      <c r="C102" s="83"/>
      <c r="D102" s="10"/>
      <c r="E102" s="11"/>
      <c r="F102" s="11"/>
      <c r="G102" s="11"/>
      <c r="H102" s="10"/>
      <c r="I102" s="11"/>
      <c r="J102" s="62"/>
      <c r="K102" s="14"/>
      <c r="L102" s="11"/>
      <c r="M102" s="63"/>
      <c r="N102" s="5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>
      <c r="A103" s="73" t="str">
        <f>A54</f>
        <v>Expenditure : Very Poor HHs</v>
      </c>
      <c r="B103" s="2"/>
      <c r="C103" s="2"/>
      <c r="D103" s="31"/>
      <c r="E103" s="2"/>
      <c r="F103" s="2"/>
      <c r="G103" s="2"/>
      <c r="H103" s="31"/>
      <c r="I103" s="22"/>
      <c r="J103" s="18"/>
      <c r="L103" s="2"/>
      <c r="M103" s="57"/>
      <c r="N103" s="5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2"/>
      <c r="AC103" s="2"/>
      <c r="AD103" s="2"/>
      <c r="AE103" s="2"/>
      <c r="AF103" s="2"/>
      <c r="AG103" s="2"/>
      <c r="AM103" s="21"/>
      <c r="AN103" s="21"/>
      <c r="AO103" s="21"/>
      <c r="AV103" s="21"/>
      <c r="AW103" s="21"/>
      <c r="AX103" s="21"/>
      <c r="BC103" s="21"/>
      <c r="BD103" s="21"/>
      <c r="BE103" s="21"/>
      <c r="BL103" s="21"/>
      <c r="BM103" s="21"/>
      <c r="BN103" s="21"/>
      <c r="BS103" s="21"/>
      <c r="BT103" s="21"/>
      <c r="BU103" s="21"/>
      <c r="CA103" s="21"/>
      <c r="CB103" s="21"/>
      <c r="CC103" s="21"/>
      <c r="CH103" s="21"/>
      <c r="CI103" s="21"/>
      <c r="CJ103" s="21"/>
    </row>
    <row r="104" spans="1:88" ht="14" customHeight="1">
      <c r="A104" s="84"/>
      <c r="B104" s="19" t="s">
        <v>7</v>
      </c>
      <c r="C104" s="2"/>
      <c r="D104" s="16"/>
      <c r="H104" s="16" t="s">
        <v>12</v>
      </c>
      <c r="I104" s="19" t="s">
        <v>13</v>
      </c>
      <c r="J104" s="16" t="s">
        <v>14</v>
      </c>
      <c r="K104" s="19" t="s">
        <v>7</v>
      </c>
      <c r="L104" s="19" t="s">
        <v>15</v>
      </c>
      <c r="M104" s="57" t="str">
        <f t="shared" ref="M104:M112" si="52">(J104)</f>
        <v>Curr.</v>
      </c>
      <c r="N104" s="5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">
        <v>45</v>
      </c>
      <c r="B105" s="19" t="s">
        <v>35</v>
      </c>
      <c r="C105" s="2"/>
      <c r="D105" s="31"/>
      <c r="H105" s="16" t="s">
        <v>18</v>
      </c>
      <c r="I105" s="19" t="s">
        <v>35</v>
      </c>
      <c r="J105" s="16" t="s">
        <v>35</v>
      </c>
      <c r="K105" s="19" t="s">
        <v>35</v>
      </c>
      <c r="L105" s="19" t="s">
        <v>19</v>
      </c>
      <c r="M105" s="57" t="str">
        <f t="shared" si="52"/>
        <v>Expend</v>
      </c>
      <c r="N105" s="5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2"/>
      <c r="AC105" s="2"/>
      <c r="AD105" s="2"/>
      <c r="AE105" s="2"/>
      <c r="AF105" s="2"/>
      <c r="AG105" s="2"/>
    </row>
    <row r="106" spans="1:88" ht="14" customHeight="1">
      <c r="A106" s="64" t="s">
        <v>132</v>
      </c>
      <c r="B106" s="60">
        <f>B57/B$70</f>
        <v>2.2282380850336865</v>
      </c>
      <c r="C106" s="2"/>
      <c r="D106" s="24"/>
      <c r="H106" s="97">
        <f>(E57*F57/G$29*F$7/F$9)</f>
        <v>1.0178571428571426</v>
      </c>
      <c r="I106" s="29">
        <f>IF(SUMPRODUCT($B$106:$B106,$H$106:$H106)&lt;I$101,($B106*$H106),I$101)</f>
        <v>2.268028050837859</v>
      </c>
      <c r="J106" s="238">
        <f>IF(SUMPRODUCT($B$106:$B106,$H$106:$H106)&lt;J$101,($B106*$H106),J$101)</f>
        <v>2.268028050837859</v>
      </c>
      <c r="K106" s="29">
        <f>(B106)</f>
        <v>2.2282380850336865</v>
      </c>
      <c r="L106" s="29">
        <f>IF(SUMPRODUCT($B$106:$B106,$H$106:$H106)&lt;L$101,($B106*$H106),L$101)</f>
        <v>2.268028050837859</v>
      </c>
      <c r="M106" s="239">
        <f t="shared" si="52"/>
        <v>2.268028050837859</v>
      </c>
      <c r="N106" s="58"/>
      <c r="O106" s="173">
        <f>B106*H106</f>
        <v>2.268028050837859</v>
      </c>
      <c r="P106" s="171"/>
      <c r="Q106" s="172"/>
      <c r="R106" s="69"/>
      <c r="S106" s="2"/>
      <c r="T106" s="2"/>
      <c r="U106" s="2"/>
      <c r="V106" s="2"/>
      <c r="W106" s="2"/>
      <c r="X106" s="2"/>
      <c r="Y106" s="2"/>
      <c r="Z106" s="2"/>
      <c r="AA106" s="2"/>
      <c r="AB106" s="22"/>
      <c r="AC106" s="2"/>
      <c r="AD106" s="2"/>
      <c r="AE106" s="2"/>
      <c r="AF106" s="2"/>
      <c r="AG106" s="2"/>
    </row>
    <row r="107" spans="1:88" ht="14" customHeight="1">
      <c r="A107" s="64" t="s">
        <v>133</v>
      </c>
      <c r="B107" s="60">
        <f>B58/B$70</f>
        <v>1.7095313866025661</v>
      </c>
      <c r="C107" s="2"/>
      <c r="D107" s="24"/>
      <c r="H107" s="97">
        <f>(E58*F58/G$29*F$7/F$9)</f>
        <v>0.99107142857142871</v>
      </c>
      <c r="I107" s="29">
        <f>IF(SUMPRODUCT($B$106:$B107,$H$106:$H107)&lt;I$101,($B107*$H107),IF(SUMPRODUCT($B$106:$B106,$H$106:$H106)&lt;I$101,I$101-SUMPRODUCT($B$106:$B106,$H$106:$H106),0))</f>
        <v>1.6942677135079005</v>
      </c>
      <c r="J107" s="238">
        <f>IF(SUMPRODUCT($B$106:$B107,$H$106:$H107)&lt;J$101,($B107*$H107),IF(SUMPRODUCT($B$106:$B106,$H$106:$H106)&lt;J$101,J$101-SUMPRODUCT($B$106:$B106,$H$106:$H106),0))</f>
        <v>1.6942677135079005</v>
      </c>
      <c r="K107" s="29">
        <f>(B107)</f>
        <v>1.7095313866025661</v>
      </c>
      <c r="L107" s="29">
        <f>IF(SUMPRODUCT($B$106:$B107,$H$106:$H107)&lt;L$101,($B107*$H107),IF(SUMPRODUCT($B$106:$B106,$H$106:$H106)&lt;L$101,L$101-SUMPRODUCT($B$106:$B106,$H$106:$H106),0))</f>
        <v>1.6942677135079005</v>
      </c>
      <c r="M107" s="239">
        <f t="shared" si="52"/>
        <v>1.6942677135079005</v>
      </c>
      <c r="N107" s="58"/>
      <c r="O107" s="173">
        <f>B107*H107</f>
        <v>1.6942677135079005</v>
      </c>
      <c r="Q107" s="2"/>
      <c r="R107" s="22"/>
      <c r="S107" s="2"/>
      <c r="T107" s="2"/>
      <c r="U107" s="2"/>
      <c r="V107" s="2"/>
      <c r="W107" s="2"/>
      <c r="X107" s="2"/>
      <c r="Y107" s="2"/>
      <c r="Z107" s="2"/>
      <c r="AA107" s="2"/>
      <c r="AB107" s="22"/>
      <c r="AC107" s="2"/>
      <c r="AD107" s="2"/>
      <c r="AE107" s="2"/>
      <c r="AF107" s="2"/>
      <c r="AG107" s="2"/>
    </row>
    <row r="108" spans="1:88" ht="14" customHeight="1">
      <c r="A108" s="64" t="s">
        <v>134</v>
      </c>
      <c r="B108" s="60">
        <f t="shared" ref="B108:B109" si="53">B59/B$70</f>
        <v>3.0444992376263431</v>
      </c>
      <c r="C108" s="2"/>
      <c r="D108" s="24"/>
      <c r="H108" s="97">
        <f t="shared" ref="H108:H109" si="54">(E59*F59/G$29*F$7/F$9)</f>
        <v>0.99107142857142871</v>
      </c>
      <c r="I108" s="29">
        <f>IF(SUMPRODUCT($B$106:$B108,$H$106:$H108)&lt;(I$101-I$110),($B108*$H108),IF(SUMPRODUCT($B$106:$B107,$H$106:$H107)&lt;(I$101-I$110),I$101-I$110-SUMPRODUCT($B$106:$B107,$H$106:$H107),0))</f>
        <v>0</v>
      </c>
      <c r="J108" s="238">
        <f>IF(SUMPRODUCT($B$106:$B108,$H$106:$H108)&lt;(J$101-J$110),($B108*$H108),IF(SUMPRODUCT($B$106:$B107,$H$106:$H107)&lt;(J$101-J$110),J$101-J$110-SUMPRODUCT($B$106:$B107,$H$106:$H107),0))</f>
        <v>0.73287416488323487</v>
      </c>
      <c r="K108" s="29">
        <f t="shared" ref="K108:K109" si="55">(B108)</f>
        <v>3.0444992376263431</v>
      </c>
      <c r="L108" s="29">
        <f>IF(SUMPRODUCT($B$106:$B108,$H$106:$H108)&lt;(L$101-L$110),($B108*$H108),IF(SUMPRODUCT($B$106:$B107,$H$106:$H107)&lt;(L$101-L$110),L$101-L$110-SUMPRODUCT($B$106:$B107,$H$106:$H107),0))</f>
        <v>0.20236794679838166</v>
      </c>
      <c r="M108" s="239">
        <f t="shared" si="52"/>
        <v>0.73287416488323487</v>
      </c>
      <c r="N108" s="58"/>
      <c r="O108" s="173"/>
      <c r="Q108" s="2"/>
      <c r="R108" s="22"/>
      <c r="S108" s="2"/>
      <c r="T108" s="2"/>
      <c r="U108" s="2"/>
      <c r="V108" s="2"/>
      <c r="W108" s="2"/>
      <c r="X108" s="2"/>
      <c r="Y108" s="2"/>
      <c r="Z108" s="2"/>
      <c r="AA108" s="2"/>
      <c r="AB108" s="22"/>
      <c r="AC108" s="2"/>
      <c r="AD108" s="2"/>
      <c r="AE108" s="2"/>
      <c r="AF108" s="2"/>
      <c r="AG108" s="2"/>
    </row>
    <row r="109" spans="1:88" ht="14" customHeight="1">
      <c r="A109" s="64" t="s">
        <v>135</v>
      </c>
      <c r="B109" s="60">
        <f t="shared" si="53"/>
        <v>6.4963363201946192E-2</v>
      </c>
      <c r="C109" s="2"/>
      <c r="D109" s="24"/>
      <c r="H109" s="97">
        <f t="shared" si="54"/>
        <v>0.99107142857142871</v>
      </c>
      <c r="I109" s="29">
        <f>IF(SUMPRODUCT($B$106:$B109,$H$106:$H109)&lt;(I$101-I$110),($B109*$H109),IF(SUMPRODUCT($B$106:$B108,$H$106:$H108)&lt;(I$101-I110),I$101-I$110-SUMPRODUCT($B$106:$B108,$H$106:$H108),0))</f>
        <v>0</v>
      </c>
      <c r="J109" s="238">
        <f>IF(SUMPRODUCT($B$106:$B109,$H$106:$H109)&lt;(J$101-J$110),($B109*$H109),IF(SUMPRODUCT($B$106:$B108,$H$106:$H108)&lt;(J$101-J110),J$101-J$110-SUMPRODUCT($B$106:$B108,$H$106:$H108),0))</f>
        <v>0</v>
      </c>
      <c r="K109" s="29">
        <f t="shared" si="55"/>
        <v>6.4963363201946192E-2</v>
      </c>
      <c r="L109" s="29">
        <f>IF(SUMPRODUCT($B$106:$B109,$H$106:$H109)&lt;(L$101-L$110),($B109*$H109),IF(SUMPRODUCT($B$106:$B108,$H$106:$H108)&lt;(L$101-L110),L$101-L$110-SUMPRODUCT($B$106:$B108,$H$106:$H108),0))</f>
        <v>0</v>
      </c>
      <c r="M109" s="239">
        <f t="shared" si="52"/>
        <v>0</v>
      </c>
      <c r="N109" s="58"/>
      <c r="O109" s="173"/>
      <c r="Q109" s="2"/>
      <c r="R109" s="22"/>
      <c r="S109" s="2"/>
      <c r="T109" s="2"/>
      <c r="U109" s="2"/>
      <c r="V109" s="2"/>
      <c r="W109" s="2"/>
      <c r="X109" s="2"/>
      <c r="Y109" s="2"/>
      <c r="Z109" s="2"/>
      <c r="AA109" s="2"/>
      <c r="AB109" s="22"/>
      <c r="AC109" s="2"/>
      <c r="AD109" s="2"/>
      <c r="AE109" s="2"/>
      <c r="AF109" s="2"/>
      <c r="AG109" s="2"/>
    </row>
    <row r="110" spans="1:88" ht="14" customHeight="1">
      <c r="A110" s="56" t="s">
        <v>36</v>
      </c>
      <c r="B110" s="29">
        <f>(B22)</f>
        <v>0.92868750784557907</v>
      </c>
      <c r="C110" s="2"/>
      <c r="D110" s="31"/>
      <c r="E110" s="2"/>
      <c r="F110" s="2"/>
      <c r="G110" s="2"/>
      <c r="H110" s="24"/>
      <c r="I110" s="29">
        <f>(I22)</f>
        <v>1.3433160885711377</v>
      </c>
      <c r="J110" s="232">
        <f>(J22)</f>
        <v>0.61044192368790262</v>
      </c>
      <c r="K110" s="29">
        <f>(B110)</f>
        <v>0.92868750784557907</v>
      </c>
      <c r="L110" s="29">
        <f>IF(L106=L101,0,(L101-L106)/(B101-B106)*K110)</f>
        <v>0.87306832748828289</v>
      </c>
      <c r="M110" s="239">
        <f t="shared" si="52"/>
        <v>0.61044192368790262</v>
      </c>
      <c r="N110" s="5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2"/>
      <c r="AC110" s="2"/>
      <c r="AD110" s="2"/>
      <c r="AE110" s="2"/>
      <c r="AF110" s="2"/>
      <c r="AG110" s="2"/>
    </row>
    <row r="111" spans="1:88" ht="14" customHeight="1">
      <c r="A111" s="56" t="s">
        <v>56</v>
      </c>
      <c r="B111" s="29">
        <f>(B112-B106-B107-B108-B109-B110)</f>
        <v>-2.8015323647784935</v>
      </c>
      <c r="C111" s="2"/>
      <c r="D111" s="31"/>
      <c r="E111" s="2"/>
      <c r="F111" s="2"/>
      <c r="G111" s="2"/>
      <c r="H111" s="24"/>
      <c r="I111" s="29"/>
      <c r="J111" s="232">
        <f>(J112-J106-J107-J108-J109-J110)</f>
        <v>0</v>
      </c>
      <c r="K111" s="29">
        <f>(B111)</f>
        <v>-2.8015323647784935</v>
      </c>
      <c r="L111" s="60">
        <f>(L112-L106-L107-L108-L109-L110)</f>
        <v>-4.4408920985006262E-16</v>
      </c>
      <c r="M111" s="239">
        <f t="shared" si="52"/>
        <v>0</v>
      </c>
      <c r="N111" s="5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2"/>
      <c r="AC111" s="2"/>
      <c r="AD111" s="2"/>
      <c r="AE111" s="2"/>
      <c r="AF111" s="2"/>
      <c r="AG111" s="2"/>
    </row>
    <row r="112" spans="1:88" ht="14" customHeight="1">
      <c r="A112" s="56" t="s">
        <v>32</v>
      </c>
      <c r="B112" s="29">
        <f>(B101)</f>
        <v>5.1743872155316275</v>
      </c>
      <c r="C112" s="2"/>
      <c r="D112" s="31"/>
      <c r="E112" s="2"/>
      <c r="F112" s="2"/>
      <c r="G112" s="2"/>
      <c r="H112" s="24"/>
      <c r="I112" s="29">
        <f>(I101)</f>
        <v>5.305611852916897</v>
      </c>
      <c r="J112" s="232">
        <f>(J101)</f>
        <v>5.305611852916897</v>
      </c>
      <c r="K112" s="29">
        <f>(B112)</f>
        <v>5.1743872155316275</v>
      </c>
      <c r="L112" s="29">
        <f>(L101)</f>
        <v>5.0377320386324236</v>
      </c>
      <c r="M112" s="239">
        <f t="shared" si="52"/>
        <v>5.305611852916897</v>
      </c>
      <c r="N112" s="5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2"/>
      <c r="AC112" s="2"/>
      <c r="AD112" s="2"/>
      <c r="AE112" s="2"/>
      <c r="AF112" s="2"/>
      <c r="AG112" s="2"/>
    </row>
    <row r="113" spans="1:33" ht="14" customHeight="1">
      <c r="A113" s="56" t="s">
        <v>37</v>
      </c>
      <c r="B113" s="29"/>
      <c r="C113" s="2"/>
      <c r="D113" s="31"/>
      <c r="E113" s="2"/>
      <c r="F113" s="2"/>
      <c r="G113" s="2"/>
      <c r="H113" s="24"/>
      <c r="I113" s="29">
        <f>IF(SUMPRODUCT($B106:$B109,$H106:$H109)&gt;(I101-I110),SUMPRODUCT($B106:$B109,$H106:$H109)+I110-I101,0)</f>
        <v>3.0816995418923234</v>
      </c>
      <c r="J113" s="238">
        <f>IF(SUMPRODUCT($B106:$B109,$H106:$H109)&gt;(J101-J110),SUMPRODUCT($B106:$B109,$H106:$H109)+J110-J101,0)</f>
        <v>2.3488253770090877</v>
      </c>
      <c r="K113" s="29"/>
      <c r="L113" s="29">
        <f>I113-(SUM(L108:L109))</f>
        <v>2.8793315950939418</v>
      </c>
      <c r="M113" s="238">
        <f>I113-(SUM(M108:M109))</f>
        <v>2.3488253770090886</v>
      </c>
      <c r="N113" s="5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2"/>
      <c r="AC113" s="2"/>
      <c r="AD113" s="2"/>
      <c r="AE113" s="2"/>
      <c r="AF113" s="2"/>
      <c r="AG113" s="2"/>
    </row>
    <row r="114" spans="1:33" ht="14" customHeight="1">
      <c r="A114" s="14"/>
      <c r="B114" s="14"/>
      <c r="C114" s="14"/>
      <c r="D114" s="12"/>
      <c r="E114" s="14"/>
      <c r="F114" s="14"/>
      <c r="G114" s="14"/>
      <c r="H114" s="12"/>
      <c r="I114" s="14"/>
      <c r="J114" s="12"/>
      <c r="K114" s="14"/>
      <c r="L114" s="14"/>
      <c r="M114" s="66"/>
      <c r="N114" s="58"/>
    </row>
    <row r="124" spans="1:33">
      <c r="A124" s="2"/>
      <c r="B124" s="2"/>
      <c r="C124" s="2"/>
      <c r="D124" s="2"/>
      <c r="E124" s="2"/>
      <c r="F124" s="2"/>
      <c r="G124" s="2"/>
      <c r="H124" s="2"/>
      <c r="I124" s="2"/>
      <c r="J124" s="2"/>
      <c r="L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1:33">
      <c r="B125" s="22"/>
      <c r="C125" s="22"/>
      <c r="D125" s="2"/>
      <c r="E125" s="2"/>
      <c r="F125" s="2"/>
      <c r="G125" s="2"/>
      <c r="H125" s="2"/>
      <c r="I125" s="22"/>
      <c r="J125" s="2"/>
      <c r="L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68"/>
      <c r="AC125" s="2"/>
      <c r="AD125" s="2"/>
      <c r="AE125" s="2"/>
      <c r="AF125" s="2"/>
      <c r="AG125" s="2"/>
    </row>
    <row r="126" spans="1:33">
      <c r="B126" s="22"/>
      <c r="C126" s="22"/>
      <c r="D126" s="2"/>
      <c r="E126" s="2"/>
      <c r="F126" s="2"/>
      <c r="G126" s="2"/>
      <c r="H126" s="2"/>
      <c r="I126" s="2"/>
      <c r="J126" s="2"/>
      <c r="L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68"/>
      <c r="AC126" s="2"/>
      <c r="AD126" s="2"/>
      <c r="AE126" s="2"/>
      <c r="AF126" s="2"/>
      <c r="AG126" s="2"/>
    </row>
    <row r="127" spans="1:33">
      <c r="B127" s="22"/>
      <c r="C127" s="22"/>
      <c r="D127" s="2"/>
      <c r="E127" s="2"/>
      <c r="F127" s="2"/>
      <c r="G127" s="2"/>
      <c r="H127" s="2"/>
      <c r="I127" s="22"/>
      <c r="J127" s="2"/>
      <c r="L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68"/>
      <c r="AC127" s="2"/>
      <c r="AD127" s="2"/>
      <c r="AE127" s="2"/>
      <c r="AF127" s="2"/>
      <c r="AG127" s="2"/>
    </row>
    <row r="128" spans="1:33">
      <c r="B128" s="2"/>
      <c r="C128" s="2"/>
      <c r="D128" s="2"/>
      <c r="E128" s="2"/>
      <c r="F128" s="2"/>
      <c r="G128" s="2"/>
      <c r="H128" s="2"/>
      <c r="I128" s="2"/>
      <c r="J128" s="2"/>
      <c r="L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68"/>
      <c r="AC128" s="2"/>
      <c r="AD128" s="2"/>
      <c r="AE128" s="2"/>
      <c r="AF128" s="2"/>
      <c r="AG128" s="2"/>
    </row>
    <row r="129" spans="1:33">
      <c r="B129" s="22"/>
      <c r="C129" s="22"/>
      <c r="D129" s="2"/>
      <c r="E129" s="2"/>
      <c r="F129" s="2"/>
      <c r="G129" s="2"/>
      <c r="H129" s="2"/>
      <c r="I129" s="2"/>
      <c r="J129" s="2"/>
      <c r="L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68"/>
      <c r="AC129" s="2"/>
      <c r="AD129" s="2"/>
      <c r="AE129" s="2"/>
      <c r="AF129" s="2"/>
      <c r="AG129" s="2"/>
    </row>
    <row r="130" spans="1:33">
      <c r="B130" s="22"/>
      <c r="C130" s="22"/>
      <c r="D130" s="2"/>
      <c r="E130" s="2"/>
      <c r="F130" s="2"/>
      <c r="G130" s="2"/>
      <c r="H130" s="2"/>
      <c r="I130" s="2"/>
      <c r="J130" s="2"/>
      <c r="L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68"/>
      <c r="AC130" s="2"/>
      <c r="AD130" s="2"/>
      <c r="AE130" s="2"/>
      <c r="AF130" s="2"/>
      <c r="AG130" s="2"/>
    </row>
    <row r="131" spans="1:33">
      <c r="B131" s="22"/>
      <c r="C131" s="22"/>
      <c r="D131" s="2"/>
      <c r="E131" s="2"/>
      <c r="F131" s="2"/>
      <c r="G131" s="2"/>
      <c r="H131" s="2"/>
      <c r="I131" s="2"/>
      <c r="J131" s="2"/>
      <c r="L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68"/>
      <c r="AC131" s="2"/>
      <c r="AD131" s="2"/>
      <c r="AE131" s="2"/>
      <c r="AF131" s="2"/>
      <c r="AG131" s="2"/>
    </row>
    <row r="132" spans="1:33">
      <c r="B132" s="22"/>
      <c r="C132" s="22"/>
      <c r="D132" s="2"/>
      <c r="E132" s="2"/>
      <c r="F132" s="2"/>
      <c r="G132" s="2"/>
      <c r="H132" s="2"/>
      <c r="I132" s="2"/>
      <c r="J132" s="2"/>
      <c r="L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68"/>
      <c r="AC132" s="2"/>
      <c r="AD132" s="2"/>
      <c r="AE132" s="2"/>
      <c r="AF132" s="2"/>
      <c r="AG132" s="2"/>
    </row>
    <row r="133" spans="1:33">
      <c r="B133" s="22"/>
      <c r="C133" s="22"/>
      <c r="D133" s="2"/>
      <c r="E133" s="2"/>
      <c r="F133" s="2"/>
      <c r="G133" s="2"/>
      <c r="H133" s="2"/>
      <c r="I133" s="2"/>
      <c r="J133" s="2"/>
      <c r="L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68"/>
      <c r="AC133" s="2"/>
      <c r="AD133" s="2"/>
      <c r="AE133" s="2"/>
      <c r="AF133" s="2"/>
      <c r="AG133" s="2"/>
    </row>
    <row r="134" spans="1:33">
      <c r="B134" s="22"/>
      <c r="C134" s="22"/>
      <c r="D134" s="2"/>
      <c r="E134" s="2"/>
      <c r="F134" s="2"/>
      <c r="G134" s="2"/>
      <c r="H134" s="2"/>
      <c r="I134" s="2"/>
      <c r="J134" s="2"/>
      <c r="L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68"/>
      <c r="AC134" s="2"/>
      <c r="AD134" s="2"/>
      <c r="AE134" s="2"/>
      <c r="AF134" s="2"/>
      <c r="AG134" s="2"/>
    </row>
    <row r="135" spans="1:33">
      <c r="A135" s="2"/>
      <c r="B135" s="2"/>
      <c r="C135" s="2"/>
      <c r="D135" s="2"/>
      <c r="E135" s="2"/>
      <c r="F135" s="2"/>
      <c r="G135" s="2"/>
      <c r="H135" s="2"/>
      <c r="I135" s="2"/>
      <c r="J135" s="2"/>
      <c r="L135" s="2"/>
      <c r="O135" s="2"/>
      <c r="P135" s="2"/>
      <c r="Q135" s="2"/>
      <c r="R135" s="2"/>
      <c r="S135" s="2"/>
      <c r="T135" s="2"/>
      <c r="U135" s="2"/>
      <c r="V135" s="2"/>
      <c r="W135" s="69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1:33">
      <c r="A136" s="3"/>
      <c r="B136" s="2"/>
      <c r="C136" s="2"/>
      <c r="D136" s="2"/>
      <c r="E136" s="2"/>
      <c r="F136" s="2"/>
      <c r="H136" s="2"/>
      <c r="I136" s="2"/>
      <c r="J136" s="2"/>
      <c r="L136" s="2"/>
      <c r="W136" s="71"/>
    </row>
    <row r="137" spans="1:33">
      <c r="A137" s="2"/>
      <c r="B137" s="2"/>
      <c r="C137" s="2"/>
      <c r="D137" s="2"/>
      <c r="E137" s="2"/>
      <c r="F137" s="2"/>
      <c r="H137" s="2"/>
      <c r="I137" s="2"/>
      <c r="J137" s="2"/>
      <c r="L137" s="2"/>
      <c r="W137" s="71"/>
    </row>
    <row r="138" spans="1:33">
      <c r="A138" s="2"/>
      <c r="B138" s="2"/>
      <c r="C138" s="2"/>
      <c r="D138" s="2"/>
      <c r="E138" s="2"/>
      <c r="F138" s="2"/>
      <c r="H138" s="2"/>
      <c r="I138" s="2"/>
      <c r="J138" s="2"/>
      <c r="L138" s="2"/>
      <c r="W138" s="71"/>
    </row>
    <row r="139" spans="1:33">
      <c r="A139" s="22"/>
      <c r="B139" s="2"/>
      <c r="C139" s="2"/>
      <c r="D139" s="2"/>
      <c r="E139" s="2"/>
      <c r="F139" s="2"/>
      <c r="H139" s="2"/>
      <c r="I139" s="2"/>
      <c r="J139" s="2"/>
      <c r="L139" s="2"/>
      <c r="W139" s="71"/>
    </row>
    <row r="140" spans="1:33">
      <c r="A140" s="2"/>
      <c r="B140" s="2"/>
      <c r="C140" s="2"/>
      <c r="D140" s="2"/>
      <c r="E140" s="2"/>
      <c r="F140" s="2"/>
      <c r="H140" s="2"/>
      <c r="I140" s="2"/>
      <c r="J140" s="2"/>
      <c r="L140" s="2"/>
      <c r="W140" s="71"/>
    </row>
    <row r="141" spans="1:33">
      <c r="A141" s="2"/>
      <c r="B141" s="2"/>
      <c r="C141" s="2"/>
      <c r="D141" s="2"/>
      <c r="E141" s="2"/>
      <c r="F141" s="2"/>
      <c r="H141" s="2"/>
      <c r="I141" s="2"/>
      <c r="J141" s="2"/>
      <c r="L141" s="2"/>
    </row>
    <row r="142" spans="1:33">
      <c r="A142" s="2"/>
      <c r="B142" s="2"/>
      <c r="C142" s="2"/>
      <c r="D142" s="2"/>
      <c r="E142" s="2"/>
      <c r="F142" s="2"/>
      <c r="H142" s="2"/>
      <c r="I142" s="2"/>
      <c r="J142" s="2"/>
      <c r="L142" s="2"/>
    </row>
    <row r="143" spans="1:33">
      <c r="A143" s="2"/>
      <c r="B143" s="2"/>
      <c r="C143" s="2"/>
      <c r="D143" s="2"/>
      <c r="E143" s="2"/>
      <c r="F143" s="2"/>
      <c r="H143" s="2"/>
      <c r="I143" s="2"/>
      <c r="J143" s="2"/>
      <c r="L143" s="2"/>
      <c r="AB143" s="71"/>
    </row>
    <row r="144" spans="1:33">
      <c r="A144" s="2"/>
      <c r="B144" s="2"/>
      <c r="C144" s="2"/>
      <c r="D144" s="2"/>
      <c r="E144" s="2"/>
      <c r="F144" s="2"/>
      <c r="H144" s="2"/>
      <c r="I144" s="2"/>
      <c r="J144" s="2"/>
      <c r="L144" s="2"/>
      <c r="AB144" s="71"/>
    </row>
    <row r="145" spans="1:28">
      <c r="A145" s="2"/>
      <c r="B145" s="2"/>
      <c r="C145" s="2"/>
      <c r="D145" s="2"/>
      <c r="E145" s="2"/>
      <c r="F145" s="2"/>
      <c r="H145" s="2"/>
      <c r="I145" s="2"/>
      <c r="J145" s="2"/>
      <c r="L145" s="2"/>
      <c r="AB145" s="71"/>
    </row>
    <row r="146" spans="1:28">
      <c r="A146" s="2"/>
      <c r="B146" s="2"/>
      <c r="C146" s="2"/>
      <c r="D146" s="2"/>
      <c r="E146" s="2"/>
      <c r="F146" s="2"/>
      <c r="H146" s="2"/>
      <c r="I146" s="2"/>
      <c r="J146" s="2"/>
      <c r="L146" s="2"/>
      <c r="AB146" s="71"/>
    </row>
    <row r="147" spans="1:28">
      <c r="A147" s="2"/>
      <c r="B147" s="2"/>
      <c r="C147" s="2"/>
      <c r="D147" s="2"/>
      <c r="E147" s="2"/>
      <c r="F147" s="2"/>
      <c r="H147" s="2"/>
      <c r="I147" s="2"/>
      <c r="J147" s="2"/>
      <c r="L147" s="2"/>
      <c r="W147" s="72"/>
      <c r="AB147" s="71"/>
    </row>
    <row r="148" spans="1:28">
      <c r="A148" s="2"/>
      <c r="B148" s="2"/>
      <c r="C148" s="2"/>
      <c r="D148" s="2"/>
      <c r="E148" s="2"/>
      <c r="F148" s="2"/>
      <c r="H148" s="2"/>
      <c r="I148" s="2"/>
      <c r="J148" s="2"/>
      <c r="L148" s="2"/>
      <c r="W148" s="72"/>
      <c r="AB148" s="71"/>
    </row>
    <row r="149" spans="1:28">
      <c r="A149" s="2"/>
      <c r="B149" s="2"/>
      <c r="C149" s="2"/>
      <c r="D149" s="2"/>
      <c r="E149" s="2"/>
      <c r="F149" s="2"/>
      <c r="H149" s="2"/>
      <c r="I149" s="2"/>
      <c r="J149" s="2"/>
      <c r="L149" s="2"/>
      <c r="AB149" s="71"/>
    </row>
    <row r="150" spans="1:28">
      <c r="A150" s="2"/>
      <c r="B150" s="2"/>
      <c r="C150" s="2"/>
      <c r="D150" s="2"/>
      <c r="E150" s="2"/>
      <c r="F150" s="2"/>
      <c r="H150" s="2"/>
      <c r="I150" s="2"/>
      <c r="J150" s="2"/>
      <c r="L150" s="2"/>
      <c r="AB150" s="71"/>
    </row>
    <row r="151" spans="1:28">
      <c r="A151" s="2"/>
      <c r="B151" s="2"/>
      <c r="C151" s="2"/>
      <c r="D151" s="2"/>
      <c r="E151" s="2"/>
      <c r="F151" s="2"/>
      <c r="H151" s="2"/>
      <c r="I151" s="2"/>
      <c r="J151" s="2"/>
      <c r="L151" s="2"/>
      <c r="AB151" s="71"/>
    </row>
    <row r="152" spans="1:28">
      <c r="A152" s="2"/>
      <c r="B152" s="2"/>
      <c r="C152" s="2"/>
      <c r="D152" s="2"/>
      <c r="E152" s="2"/>
      <c r="F152" s="2"/>
      <c r="H152" s="2"/>
      <c r="I152" s="2"/>
      <c r="J152" s="2"/>
      <c r="L152" s="2"/>
    </row>
    <row r="153" spans="1:28">
      <c r="A153" s="2"/>
      <c r="B153" s="2"/>
      <c r="C153" s="2"/>
      <c r="D153" s="2"/>
      <c r="E153" s="2"/>
      <c r="F153" s="2"/>
      <c r="H153" s="2"/>
      <c r="I153" s="2"/>
      <c r="J153" s="2"/>
      <c r="L153" s="2"/>
      <c r="W153" s="72"/>
      <c r="AB153" s="71"/>
    </row>
    <row r="154" spans="1:28">
      <c r="A154" s="2"/>
      <c r="B154" s="2"/>
      <c r="C154" s="2"/>
      <c r="D154" s="2"/>
      <c r="E154" s="2"/>
      <c r="F154" s="2"/>
      <c r="H154" s="2"/>
      <c r="I154" s="2"/>
      <c r="J154" s="2"/>
      <c r="L154" s="2"/>
      <c r="W154" s="72"/>
    </row>
    <row r="155" spans="1:28">
      <c r="A155" s="2"/>
      <c r="B155" s="2"/>
      <c r="C155" s="2"/>
      <c r="D155" s="2"/>
      <c r="E155" s="2"/>
      <c r="F155" s="2"/>
      <c r="H155" s="2"/>
      <c r="I155" s="2"/>
      <c r="J155" s="2"/>
      <c r="L155" s="2"/>
    </row>
    <row r="156" spans="1:28">
      <c r="A156" s="2"/>
      <c r="B156" s="2"/>
      <c r="C156" s="2"/>
      <c r="D156" s="2"/>
      <c r="E156" s="2"/>
      <c r="F156" s="2"/>
      <c r="H156" s="2"/>
      <c r="I156" s="2"/>
      <c r="J156" s="2"/>
      <c r="L156" s="2"/>
    </row>
    <row r="157" spans="1:28">
      <c r="A157" s="2"/>
      <c r="B157" s="2"/>
      <c r="C157" s="2"/>
      <c r="D157" s="2"/>
      <c r="E157" s="2"/>
      <c r="F157" s="2"/>
      <c r="H157" s="2"/>
      <c r="I157" s="2"/>
      <c r="J157" s="2"/>
      <c r="L157" s="2"/>
      <c r="AB157" s="71"/>
    </row>
    <row r="158" spans="1:28">
      <c r="A158" s="2"/>
      <c r="B158" s="2"/>
      <c r="C158" s="2"/>
      <c r="D158" s="2"/>
      <c r="E158" s="2"/>
      <c r="F158" s="2"/>
      <c r="H158" s="2"/>
      <c r="I158" s="2"/>
      <c r="J158" s="2"/>
      <c r="L158" s="2"/>
      <c r="AB158" s="71"/>
    </row>
    <row r="159" spans="1:28">
      <c r="A159" s="2"/>
      <c r="B159" s="2"/>
      <c r="C159" s="2"/>
      <c r="D159" s="2"/>
      <c r="E159" s="2"/>
      <c r="F159" s="2"/>
      <c r="H159" s="2"/>
      <c r="I159" s="2"/>
      <c r="J159" s="2"/>
      <c r="L159" s="2"/>
      <c r="W159" s="72"/>
      <c r="AB159" s="71"/>
    </row>
    <row r="160" spans="1:28">
      <c r="A160" s="2"/>
      <c r="B160" s="2"/>
      <c r="C160" s="2"/>
      <c r="D160" s="2"/>
      <c r="E160" s="2"/>
      <c r="F160" s="2"/>
      <c r="H160" s="2"/>
      <c r="I160" s="2"/>
      <c r="J160" s="2"/>
      <c r="L160" s="2"/>
      <c r="W160" s="72"/>
      <c r="AB160" s="71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</row>
    <row r="167" spans="1:28">
      <c r="AB167" s="71"/>
    </row>
    <row r="168" spans="1:28">
      <c r="AB168" s="71"/>
    </row>
    <row r="169" spans="1:28">
      <c r="AB169" s="71"/>
    </row>
    <row r="170" spans="1:28">
      <c r="AB170" s="71"/>
    </row>
    <row r="171" spans="1:28">
      <c r="W171" s="72"/>
      <c r="AB171" s="71"/>
    </row>
    <row r="172" spans="1:28">
      <c r="W172" s="72"/>
      <c r="AB172" s="71"/>
    </row>
    <row r="173" spans="1:28">
      <c r="W173" s="72"/>
    </row>
    <row r="175" spans="1:28">
      <c r="AB175" s="71"/>
    </row>
    <row r="176" spans="1:28">
      <c r="AB176" s="71"/>
    </row>
    <row r="177" spans="23:28">
      <c r="AB177" s="71"/>
    </row>
    <row r="178" spans="23:28">
      <c r="AB178" s="71"/>
    </row>
    <row r="179" spans="23:28">
      <c r="AB179" s="71"/>
    </row>
    <row r="180" spans="23:28">
      <c r="W180" s="72"/>
      <c r="AB180" s="71"/>
    </row>
    <row r="181" spans="23:28">
      <c r="W181" s="72"/>
    </row>
    <row r="182" spans="23:28">
      <c r="W182" s="72"/>
    </row>
    <row r="189" spans="23:28">
      <c r="W189" s="72"/>
    </row>
    <row r="190" spans="23:28">
      <c r="W190" s="72"/>
    </row>
    <row r="191" spans="23:28">
      <c r="W191" s="72"/>
    </row>
    <row r="201" spans="23:23">
      <c r="W201" s="72"/>
    </row>
    <row r="202" spans="23:23">
      <c r="W202" s="72"/>
    </row>
    <row r="203" spans="23:23">
      <c r="W203" s="72"/>
    </row>
    <row r="210" spans="23:23">
      <c r="W210" s="72"/>
    </row>
    <row r="211" spans="23:23">
      <c r="W211" s="72"/>
    </row>
    <row r="212" spans="23:23">
      <c r="W212" s="72"/>
    </row>
    <row r="219" spans="23:23">
      <c r="W219" s="72"/>
    </row>
    <row r="220" spans="23:23">
      <c r="W220" s="72"/>
    </row>
    <row r="221" spans="23:23">
      <c r="W221" s="72"/>
    </row>
    <row r="231" spans="23:23">
      <c r="W231" s="72"/>
    </row>
    <row r="232" spans="23:23">
      <c r="W232" s="72"/>
    </row>
    <row r="233" spans="23:23">
      <c r="W233" s="72"/>
    </row>
    <row r="240" spans="23:23">
      <c r="W240" s="72"/>
    </row>
    <row r="241" spans="23:23">
      <c r="W241" s="72"/>
    </row>
    <row r="242" spans="23:23">
      <c r="W242" s="72"/>
    </row>
    <row r="249" spans="23:23">
      <c r="W249" s="72"/>
    </row>
    <row r="250" spans="23:23">
      <c r="W250" s="72"/>
    </row>
    <row r="251" spans="23:23">
      <c r="W251" s="72"/>
    </row>
  </sheetData>
  <sheetProtection sheet="1" objects="1" scenarios="1" formatCells="0" formatColumns="0" formatRow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19" val="1" numFmtId="9"/>
      <inputCells r="E20" val="1" numFmtId="9"/>
      <inputCells r="E21" val="1" numFmtId="9"/>
      <inputCells r="E32" val="1" numFmtId="9"/>
      <inputCells r="E36" val="1" numFmtId="9"/>
      <inputCells r="E37" val="1" numFmtId="9"/>
      <inputCells r="E38" val="1" numFmtId="9"/>
      <inputCells r="E51" val="1" numFmtId="9"/>
      <inputCells r="F30" val="1" numFmtId="9"/>
      <inputCells r="F31" val="2" numFmtId="9"/>
      <inputCells r="F32" val="1.25" numFmtId="9"/>
      <inputCells r="F36" val="1" numFmtId="9"/>
      <inputCells r="F37" val="0.4" numFmtId="9"/>
      <inputCells r="F38" val="1" numFmtId="9"/>
      <inputCells r="F51" val="1" numFmtId="9"/>
      <inputCells r="F29" val="2.5" numFmtId="9"/>
      <inputCells r="G29" val="2" numFmtId="9"/>
      <inputCells r="F57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19" val="1" numFmtId="9"/>
      <inputCells r="E20" val="1" numFmtId="9"/>
      <inputCells r="E21" val="1" numFmtId="9"/>
      <inputCells r="E32" val="1" numFmtId="9"/>
      <inputCells r="E36" val="1" numFmtId="9"/>
      <inputCells r="E37" val="1" numFmtId="9"/>
      <inputCells r="E38" val="1" numFmtId="9"/>
      <inputCells r="E51" val="1" numFmtId="9"/>
      <inputCells r="F29" val="1" numFmtId="9"/>
      <inputCells r="F30" val="1" numFmtId="9"/>
      <inputCells r="F31" val="1" numFmtId="9"/>
      <inputCells r="F32" val="1" numFmtId="9"/>
      <inputCells r="F36" val="1" numFmtId="9"/>
      <inputCells r="F37" val="1" numFmtId="9"/>
      <inputCells r="F38" val="1" numFmtId="9"/>
      <inputCells r="F51" val="1" numFmtId="9"/>
      <inputCells r="G29" val="1" numFmtId="9"/>
      <inputCells r="F57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51" priority="81" operator="equal">
      <formula>16</formula>
    </cfRule>
    <cfRule type="cellIs" dxfId="350" priority="82" operator="equal">
      <formula>15</formula>
    </cfRule>
    <cfRule type="cellIs" dxfId="349" priority="83" operator="equal">
      <formula>14</formula>
    </cfRule>
    <cfRule type="cellIs" dxfId="348" priority="84" operator="equal">
      <formula>13</formula>
    </cfRule>
    <cfRule type="cellIs" dxfId="347" priority="85" operator="equal">
      <formula>12</formula>
    </cfRule>
    <cfRule type="cellIs" dxfId="346" priority="86" operator="equal">
      <formula>11</formula>
    </cfRule>
    <cfRule type="cellIs" dxfId="345" priority="87" operator="equal">
      <formula>10</formula>
    </cfRule>
    <cfRule type="cellIs" dxfId="344" priority="88" operator="equal">
      <formula>9</formula>
    </cfRule>
    <cfRule type="cellIs" dxfId="343" priority="89" operator="equal">
      <formula>8</formula>
    </cfRule>
    <cfRule type="cellIs" dxfId="342" priority="90" operator="equal">
      <formula>7</formula>
    </cfRule>
    <cfRule type="cellIs" dxfId="341" priority="91" operator="equal">
      <formula>6</formula>
    </cfRule>
    <cfRule type="cellIs" dxfId="340" priority="92" operator="equal">
      <formula>5</formula>
    </cfRule>
    <cfRule type="cellIs" dxfId="339" priority="93" operator="equal">
      <formula>4</formula>
    </cfRule>
    <cfRule type="cellIs" dxfId="338" priority="94" operator="equal">
      <formula>3</formula>
    </cfRule>
    <cfRule type="cellIs" dxfId="337" priority="95" operator="equal">
      <formula>2</formula>
    </cfRule>
    <cfRule type="cellIs" dxfId="336" priority="96" operator="equal">
      <formula>1</formula>
    </cfRule>
  </conditionalFormatting>
  <conditionalFormatting sqref="N21">
    <cfRule type="cellIs" dxfId="335" priority="65" operator="equal">
      <formula>16</formula>
    </cfRule>
    <cfRule type="cellIs" dxfId="334" priority="66" operator="equal">
      <formula>15</formula>
    </cfRule>
    <cfRule type="cellIs" dxfId="333" priority="67" operator="equal">
      <formula>14</formula>
    </cfRule>
    <cfRule type="cellIs" dxfId="332" priority="68" operator="equal">
      <formula>13</formula>
    </cfRule>
    <cfRule type="cellIs" dxfId="331" priority="69" operator="equal">
      <formula>12</formula>
    </cfRule>
    <cfRule type="cellIs" dxfId="330" priority="70" operator="equal">
      <formula>11</formula>
    </cfRule>
    <cfRule type="cellIs" dxfId="329" priority="71" operator="equal">
      <formula>10</formula>
    </cfRule>
    <cfRule type="cellIs" dxfId="328" priority="72" operator="equal">
      <formula>9</formula>
    </cfRule>
    <cfRule type="cellIs" dxfId="327" priority="73" operator="equal">
      <formula>8</formula>
    </cfRule>
    <cfRule type="cellIs" dxfId="326" priority="74" operator="equal">
      <formula>7</formula>
    </cfRule>
    <cfRule type="cellIs" dxfId="325" priority="75" operator="equal">
      <formula>6</formula>
    </cfRule>
    <cfRule type="cellIs" dxfId="324" priority="76" operator="equal">
      <formula>5</formula>
    </cfRule>
    <cfRule type="cellIs" dxfId="323" priority="77" operator="equal">
      <formula>4</formula>
    </cfRule>
    <cfRule type="cellIs" dxfId="322" priority="78" operator="equal">
      <formula>3</formula>
    </cfRule>
    <cfRule type="cellIs" dxfId="321" priority="79" operator="equal">
      <formula>2</formula>
    </cfRule>
    <cfRule type="cellIs" dxfId="320" priority="80" operator="equal">
      <formula>1</formula>
    </cfRule>
  </conditionalFormatting>
  <conditionalFormatting sqref="N95:N101">
    <cfRule type="cellIs" dxfId="319" priority="49" operator="equal">
      <formula>16</formula>
    </cfRule>
    <cfRule type="cellIs" dxfId="318" priority="50" operator="equal">
      <formula>15</formula>
    </cfRule>
    <cfRule type="cellIs" dxfId="317" priority="51" operator="equal">
      <formula>14</formula>
    </cfRule>
    <cfRule type="cellIs" dxfId="316" priority="52" operator="equal">
      <formula>13</formula>
    </cfRule>
    <cfRule type="cellIs" dxfId="315" priority="53" operator="equal">
      <formula>12</formula>
    </cfRule>
    <cfRule type="cellIs" dxfId="314" priority="54" operator="equal">
      <formula>11</formula>
    </cfRule>
    <cfRule type="cellIs" dxfId="313" priority="55" operator="equal">
      <formula>10</formula>
    </cfRule>
    <cfRule type="cellIs" dxfId="312" priority="56" operator="equal">
      <formula>9</formula>
    </cfRule>
    <cfRule type="cellIs" dxfId="311" priority="57" operator="equal">
      <formula>8</formula>
    </cfRule>
    <cfRule type="cellIs" dxfId="310" priority="58" operator="equal">
      <formula>7</formula>
    </cfRule>
    <cfRule type="cellIs" dxfId="309" priority="59" operator="equal">
      <formula>6</formula>
    </cfRule>
    <cfRule type="cellIs" dxfId="308" priority="60" operator="equal">
      <formula>5</formula>
    </cfRule>
    <cfRule type="cellIs" dxfId="307" priority="61" operator="equal">
      <formula>4</formula>
    </cfRule>
    <cfRule type="cellIs" dxfId="306" priority="62" operator="equal">
      <formula>3</formula>
    </cfRule>
    <cfRule type="cellIs" dxfId="305" priority="63" operator="equal">
      <formula>2</formula>
    </cfRule>
    <cfRule type="cellIs" dxfId="304" priority="64" operator="equal">
      <formula>1</formula>
    </cfRule>
  </conditionalFormatting>
  <conditionalFormatting sqref="N78:N91">
    <cfRule type="cellIs" dxfId="303" priority="33" operator="equal">
      <formula>16</formula>
    </cfRule>
    <cfRule type="cellIs" dxfId="302" priority="34" operator="equal">
      <formula>15</formula>
    </cfRule>
    <cfRule type="cellIs" dxfId="301" priority="35" operator="equal">
      <formula>14</formula>
    </cfRule>
    <cfRule type="cellIs" dxfId="300" priority="36" operator="equal">
      <formula>13</formula>
    </cfRule>
    <cfRule type="cellIs" dxfId="299" priority="37" operator="equal">
      <formula>12</formula>
    </cfRule>
    <cfRule type="cellIs" dxfId="298" priority="38" operator="equal">
      <formula>11</formula>
    </cfRule>
    <cfRule type="cellIs" dxfId="297" priority="39" operator="equal">
      <formula>10</formula>
    </cfRule>
    <cfRule type="cellIs" dxfId="296" priority="40" operator="equal">
      <formula>9</formula>
    </cfRule>
    <cfRule type="cellIs" dxfId="295" priority="41" operator="equal">
      <formula>8</formula>
    </cfRule>
    <cfRule type="cellIs" dxfId="294" priority="42" operator="equal">
      <formula>7</formula>
    </cfRule>
    <cfRule type="cellIs" dxfId="293" priority="43" operator="equal">
      <formula>6</formula>
    </cfRule>
    <cfRule type="cellIs" dxfId="292" priority="44" operator="equal">
      <formula>5</formula>
    </cfRule>
    <cfRule type="cellIs" dxfId="291" priority="45" operator="equal">
      <formula>4</formula>
    </cfRule>
    <cfRule type="cellIs" dxfId="290" priority="46" operator="equal">
      <formula>3</formula>
    </cfRule>
    <cfRule type="cellIs" dxfId="289" priority="47" operator="equal">
      <formula>2</formula>
    </cfRule>
    <cfRule type="cellIs" dxfId="288" priority="48" operator="equal">
      <formula>1</formula>
    </cfRule>
  </conditionalFormatting>
  <conditionalFormatting sqref="N92:N94">
    <cfRule type="cellIs" dxfId="287" priority="17" operator="equal">
      <formula>16</formula>
    </cfRule>
    <cfRule type="cellIs" dxfId="286" priority="18" operator="equal">
      <formula>15</formula>
    </cfRule>
    <cfRule type="cellIs" dxfId="285" priority="19" operator="equal">
      <formula>14</formula>
    </cfRule>
    <cfRule type="cellIs" dxfId="284" priority="20" operator="equal">
      <formula>13</formula>
    </cfRule>
    <cfRule type="cellIs" dxfId="283" priority="21" operator="equal">
      <formula>12</formula>
    </cfRule>
    <cfRule type="cellIs" dxfId="282" priority="22" operator="equal">
      <formula>11</formula>
    </cfRule>
    <cfRule type="cellIs" dxfId="281" priority="23" operator="equal">
      <formula>10</formula>
    </cfRule>
    <cfRule type="cellIs" dxfId="280" priority="24" operator="equal">
      <formula>9</formula>
    </cfRule>
    <cfRule type="cellIs" dxfId="279" priority="25" operator="equal">
      <formula>8</formula>
    </cfRule>
    <cfRule type="cellIs" dxfId="278" priority="26" operator="equal">
      <formula>7</formula>
    </cfRule>
    <cfRule type="cellIs" dxfId="277" priority="27" operator="equal">
      <formula>6</formula>
    </cfRule>
    <cfRule type="cellIs" dxfId="276" priority="28" operator="equal">
      <formula>5</formula>
    </cfRule>
    <cfRule type="cellIs" dxfId="275" priority="29" operator="equal">
      <formula>4</formula>
    </cfRule>
    <cfRule type="cellIs" dxfId="274" priority="30" operator="equal">
      <formula>3</formula>
    </cfRule>
    <cfRule type="cellIs" dxfId="273" priority="31" operator="equal">
      <formula>2</formula>
    </cfRule>
    <cfRule type="cellIs" dxfId="272" priority="32" operator="equal">
      <formula>1</formula>
    </cfRule>
  </conditionalFormatting>
  <conditionalFormatting sqref="N6:N20">
    <cfRule type="cellIs" dxfId="271" priority="1" operator="equal">
      <formula>16</formula>
    </cfRule>
    <cfRule type="cellIs" dxfId="270" priority="2" operator="equal">
      <formula>15</formula>
    </cfRule>
    <cfRule type="cellIs" dxfId="269" priority="3" operator="equal">
      <formula>14</formula>
    </cfRule>
    <cfRule type="cellIs" dxfId="268" priority="4" operator="equal">
      <formula>13</formula>
    </cfRule>
    <cfRule type="cellIs" dxfId="267" priority="5" operator="equal">
      <formula>12</formula>
    </cfRule>
    <cfRule type="cellIs" dxfId="266" priority="6" operator="equal">
      <formula>11</formula>
    </cfRule>
    <cfRule type="cellIs" dxfId="265" priority="7" operator="equal">
      <formula>10</formula>
    </cfRule>
    <cfRule type="cellIs" dxfId="264" priority="8" operator="equal">
      <formula>9</formula>
    </cfRule>
    <cfRule type="cellIs" dxfId="263" priority="9" operator="equal">
      <formula>8</formula>
    </cfRule>
    <cfRule type="cellIs" dxfId="262" priority="10" operator="equal">
      <formula>7</formula>
    </cfRule>
    <cfRule type="cellIs" dxfId="261" priority="11" operator="equal">
      <formula>6</formula>
    </cfRule>
    <cfRule type="cellIs" dxfId="260" priority="12" operator="equal">
      <formula>5</formula>
    </cfRule>
    <cfRule type="cellIs" dxfId="259" priority="13" operator="equal">
      <formula>4</formula>
    </cfRule>
    <cfRule type="cellIs" dxfId="258" priority="14" operator="equal">
      <formula>3</formula>
    </cfRule>
    <cfRule type="cellIs" dxfId="257" priority="15" operator="equal">
      <formula>2</formula>
    </cfRule>
    <cfRule type="cellIs" dxfId="256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51"/>
  <sheetViews>
    <sheetView showGridLines="0" workbookViewId="0">
      <pane xSplit="1" ySplit="2" topLeftCell="D23" activePane="bottomRight" state="frozen"/>
      <selection pane="topRight" activeCell="B1" sqref="B1"/>
      <selection pane="bottomLeft" activeCell="A3" sqref="A3"/>
      <selection pane="bottomRight" activeCell="M23" sqref="M23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140625" style="4" customWidth="1"/>
    <col min="9" max="12" width="6.85546875" style="4" customWidth="1"/>
    <col min="13" max="13" width="7.7109375" style="4" customWidth="1"/>
    <col min="14" max="14" width="6.85546875" style="4" customWidth="1"/>
    <col min="15" max="15" width="8.42578125" style="4" customWidth="1"/>
    <col min="16" max="16" width="9.140625" style="4" customWidth="1"/>
    <col min="17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</f>
        <v>ZANOC</v>
      </c>
      <c r="B1" s="1"/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09"/>
      <c r="X1" s="113" t="s">
        <v>68</v>
      </c>
      <c r="Y1" s="114" t="s">
        <v>59</v>
      </c>
      <c r="Z1" s="256" t="s">
        <v>106</v>
      </c>
      <c r="AA1" s="257"/>
      <c r="AB1" s="256" t="s">
        <v>107</v>
      </c>
      <c r="AC1" s="257"/>
      <c r="AD1" s="256" t="s">
        <v>108</v>
      </c>
      <c r="AE1" s="257"/>
      <c r="AF1" s="256" t="s">
        <v>109</v>
      </c>
      <c r="AG1" s="257"/>
      <c r="AH1" s="116"/>
      <c r="AI1" s="109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09"/>
      <c r="X2" s="117" t="s">
        <v>60</v>
      </c>
      <c r="Y2" s="114" t="s">
        <v>61</v>
      </c>
      <c r="Z2" s="254" t="s">
        <v>110</v>
      </c>
      <c r="AA2" s="258"/>
      <c r="AB2" s="254" t="s">
        <v>111</v>
      </c>
      <c r="AC2" s="258"/>
      <c r="AD2" s="254" t="s">
        <v>112</v>
      </c>
      <c r="AE2" s="258"/>
      <c r="AF2" s="254" t="s">
        <v>113</v>
      </c>
      <c r="AG2" s="258"/>
      <c r="AH2" s="116"/>
      <c r="AI2" s="109"/>
      <c r="AJ2" s="198" t="s">
        <v>114</v>
      </c>
      <c r="AK2" s="199" t="s">
        <v>115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69</v>
      </c>
      <c r="R3" s="56"/>
      <c r="S3" s="67"/>
      <c r="T3" s="56"/>
      <c r="U3" s="56"/>
      <c r="V3" s="56"/>
      <c r="W3" s="109"/>
      <c r="X3" s="117"/>
      <c r="Y3" s="114" t="s">
        <v>62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70</v>
      </c>
      <c r="R4" s="56"/>
      <c r="S4" s="29"/>
      <c r="T4" s="56"/>
      <c r="U4" s="56"/>
      <c r="V4" s="56"/>
      <c r="W4" s="109"/>
      <c r="X4" s="117"/>
      <c r="Y4" s="114" t="s">
        <v>63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130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6">
        <f>IF([1]Summ!E1044="",0,[1]Summ!E1044)</f>
        <v>2.0859277708592777E-2</v>
      </c>
      <c r="C6" s="216">
        <f>IF([1]Summ!F1044="",0,[1]Summ!F1044)</f>
        <v>0</v>
      </c>
      <c r="D6" s="24">
        <f t="shared" ref="D6:D16" si="0">SUM(B6,C6)</f>
        <v>2.0859277708592777E-2</v>
      </c>
      <c r="E6" s="26">
        <v>1</v>
      </c>
      <c r="F6" s="2" t="s">
        <v>21</v>
      </c>
      <c r="H6" s="24">
        <f t="shared" ref="H6:H21" si="1">(E6*F$7/F$9)</f>
        <v>1</v>
      </c>
      <c r="I6" s="22">
        <f t="shared" ref="I6:I21" si="2">(D6*H6)</f>
        <v>2.0859277708592777E-2</v>
      </c>
      <c r="J6" s="24">
        <f t="shared" ref="J6:J13" si="3">IF(I$24&lt;=1+I$113,I6,B6*H6+J$25*(I6-B6*H6))</f>
        <v>2.0859277708592777E-2</v>
      </c>
      <c r="K6" s="22">
        <f t="shared" ref="K6:K23" si="4">B6</f>
        <v>2.0859277708592777E-2</v>
      </c>
      <c r="L6" s="22">
        <f t="shared" ref="L6:L21" si="5">IF(K6="","",K6*H6)</f>
        <v>2.0859277708592777E-2</v>
      </c>
      <c r="M6" s="228">
        <f t="shared" ref="M6:M23" si="6">J6</f>
        <v>2.0859277708592777E-2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71</v>
      </c>
      <c r="T6" s="70" t="s">
        <v>22</v>
      </c>
      <c r="U6" s="56"/>
      <c r="V6" s="56"/>
      <c r="W6" s="114"/>
      <c r="X6" s="117"/>
      <c r="Y6" s="184">
        <f>M6*4</f>
        <v>8.3437110834371109E-2</v>
      </c>
      <c r="Z6" s="115">
        <v>0.17</v>
      </c>
      <c r="AA6" s="120">
        <f>$M6*Z6*4</f>
        <v>1.418430884184309E-2</v>
      </c>
      <c r="AB6" s="115">
        <v>0.17</v>
      </c>
      <c r="AC6" s="120">
        <f t="shared" ref="AC6:AC21" si="7">$M6*AB6*4</f>
        <v>1.418430884184309E-2</v>
      </c>
      <c r="AD6" s="115">
        <v>0.33</v>
      </c>
      <c r="AE6" s="120">
        <f t="shared" ref="AE6:AE21" si="8">$M6*AD6*4</f>
        <v>2.7534246575342466E-2</v>
      </c>
      <c r="AF6" s="121">
        <f>1-SUM(Z6,AB6,AD6)</f>
        <v>0.32999999999999996</v>
      </c>
      <c r="AG6" s="120">
        <f>$M6*AF6*4</f>
        <v>2.7534246575342463E-2</v>
      </c>
      <c r="AH6" s="122">
        <f>SUM(Z6,AB6,AD6,AF6)</f>
        <v>1</v>
      </c>
      <c r="AI6" s="184">
        <f>SUM(AA6,AC6,AE6,AG6)/4</f>
        <v>2.0859277708592777E-2</v>
      </c>
      <c r="AJ6" s="119">
        <f>(AA6+AC6)/2</f>
        <v>1.418430884184309E-2</v>
      </c>
      <c r="AK6" s="118">
        <f>(AE6+AG6)/2</f>
        <v>2.7534246575342466E-2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6">
        <f>IF([1]Summ!E1045="",0,[1]Summ!E1045)</f>
        <v>0</v>
      </c>
      <c r="C7" s="216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8">
        <f t="shared" si="6"/>
        <v>0</v>
      </c>
      <c r="N7" s="233">
        <v>3</v>
      </c>
      <c r="O7" s="2"/>
      <c r="P7" s="22"/>
      <c r="Q7" s="59" t="s">
        <v>72</v>
      </c>
      <c r="R7" s="226">
        <f>IF($B$68=0,0,(SUMIF($N$6:$N$20,$U7,K$6:K$20)+SUMIF($N$78:$N$100,$U7,K$78:K$100))*$I$70*Poor!$B$68/$B$68)</f>
        <v>2652.6387558213746</v>
      </c>
      <c r="S7" s="226">
        <f>IF($B$68=0,0,(SUMIF($N$6:$N$20,$U7,L$6:L$20)+SUMIF($N$78:$N$100,$U7,L$78:L$100))*$I$70*Poor!$B$68/$B$68)</f>
        <v>2652.6387558213746</v>
      </c>
      <c r="T7" s="226">
        <f>IF($B$68=0,0,(SUMIF($N$6:$N$20,$U7,M$6:M$20)+SUMIF($N$78:$N$100,$U7,M$78:M$100))*$I$70*Poor!$B$68/$B$68)</f>
        <v>2652.6387558213746</v>
      </c>
      <c r="U7" s="227">
        <v>1</v>
      </c>
      <c r="V7" s="56"/>
      <c r="W7" s="114"/>
      <c r="X7" s="123">
        <v>4</v>
      </c>
      <c r="Y7" s="184">
        <f t="shared" ref="Y7:Y21" si="9">M7*4</f>
        <v>0</v>
      </c>
      <c r="Z7" s="124">
        <f>IF($Y7=0,0,AA7/$Y7)</f>
        <v>0</v>
      </c>
      <c r="AA7" s="120">
        <f>IF($X7=1,IF(SUM(AA$6,AA$12:AA$21)&lt;1,IF((1-SUM(AA$6,AA$12:AA$21))*$M7/SUM($M$7*IF($X$7=1,1,0),$M$8*IF($X$8=1,1,0),$M$9*IF($X$9=1,1,0),$M$10*IF($X$10=1,1,0),$M$11*IF($X$11=1,1,0))&lt;Y7,(1-SUM(AA$6,AA$12:AA$21)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$21)&lt;1,IF(SUM(AC$6,AC$12:AC$21)+SUM((Y$7-AA$7)*IF($X$7&lt;3,1,0),(Y$8-AA$8)*IF($X$8&lt;3,1,0),(Y$9-AA$9)*IF($X$9&lt;3,1,0),(Y$10-AA$10)*IF($X$10&lt;3,1,0),(Y$11-AA$11)*IF($X$11&lt;3,1,0))&lt;1,Y7-AA7,IF((1-SUM(AC$6,AC$12:AC$21))*$M7/SUM($M$7*IF($X$7&lt;3,1,0),$M$8*IF($X$8&lt;3,1,0),$M$9*IF($X$9&lt;3,1,0),$M$10*IF($X$10&lt;3,1,0),$M$11*IF($X$11&lt;3,1,0))&lt;Y7-AA7,(1-SUM(AC$6,AC$12:AC$21)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$21)&lt;1,IF(SUM(AE$6:AE$6,AE$12:AE$21)+SUM((Y$7-AA$7-AC$7)*IF($X$7&lt;3,1,0),(Y$8-AA$8-AC$8)*IF($X$8&lt;3,1,0),(Y$9-AA$9-AC$9)*IF($X$9&lt;3,1,0),(Y$10-AA$10-AC$10)*IF($X$10&lt;3,1,0),(Y$11-AA$11-AC$11)*IF($X$11&lt;3,1,0))&lt;1,Y7-AA7-AC7,IF((1-SUM(AE$6:AE$6,AE$12:AE$21))*$M7/SUM($M$7*IF($X$7&lt;4,1,0),$M$8*IF($X$8&lt;4,1,0),$M$9*IF($X$9&lt;4,1,0),$M$10*IF($X$10&lt;4,1,0),$M$11*IF($X$11&lt;4,1,0))&lt;Y7-AA7-AC7,(1-SUM(AE$6:AE$6,AE$12:AE$21))*$M7/SUM($M$7*IF($X$7&lt;4,1,0),$M$8*IF($X$8&lt;4,1,0),$M$9*IF($X$9&lt;4,1,0),$M$10*IF($X$10&lt;4,1,0),$M$11*IF($X$11&lt;4,1,0)),Y7-AA7-AC7)),0),0)</f>
        <v>0</v>
      </c>
      <c r="AF7" s="121">
        <f t="shared" ref="AF7:AF21" si="10">1-SUM(Z7,AB7,AD7)</f>
        <v>1</v>
      </c>
      <c r="AG7" s="120">
        <f t="shared" ref="AG7:AG21" si="11">$M7*AF7*4</f>
        <v>0</v>
      </c>
      <c r="AH7" s="122">
        <f t="shared" ref="AH7:AH22" si="12">SUM(Z7,AB7,AD7,AF7)</f>
        <v>1</v>
      </c>
      <c r="AI7" s="184">
        <f t="shared" ref="AI7:AI22" si="13">SUM(AA7,AC7,AE7,AG7)/4</f>
        <v>0</v>
      </c>
      <c r="AJ7" s="119">
        <f t="shared" ref="AJ7:AJ23" si="14">(AA7+AC7)/2</f>
        <v>0</v>
      </c>
      <c r="AK7" s="118">
        <f t="shared" ref="AK7:AK23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6">
        <f>IF([1]Summ!E1046="",0,[1]Summ!E1046)</f>
        <v>9.4048360315483607E-4</v>
      </c>
      <c r="C8" s="216">
        <f>IF([1]Summ!F1046="",0,[1]Summ!F1046)</f>
        <v>0</v>
      </c>
      <c r="D8" s="24">
        <f t="shared" si="0"/>
        <v>9.4048360315483607E-4</v>
      </c>
      <c r="E8" s="26">
        <v>1</v>
      </c>
      <c r="F8" s="22" t="s">
        <v>23</v>
      </c>
      <c r="H8" s="24">
        <f t="shared" si="1"/>
        <v>1</v>
      </c>
      <c r="I8" s="22">
        <f t="shared" si="2"/>
        <v>9.4048360315483607E-4</v>
      </c>
      <c r="J8" s="24">
        <f t="shared" si="3"/>
        <v>9.4048360315483607E-4</v>
      </c>
      <c r="K8" s="22">
        <f t="shared" si="4"/>
        <v>9.4048360315483607E-4</v>
      </c>
      <c r="L8" s="22">
        <f t="shared" si="5"/>
        <v>9.4048360315483607E-4</v>
      </c>
      <c r="M8" s="228">
        <f t="shared" si="6"/>
        <v>9.4048360315483607E-4</v>
      </c>
      <c r="N8" s="233">
        <v>3</v>
      </c>
      <c r="O8" s="2"/>
      <c r="P8" s="22"/>
      <c r="Q8" s="59" t="s">
        <v>73</v>
      </c>
      <c r="R8" s="226">
        <f>IF($B$68=0,0,(SUMIF($N$6:$N$20,$U8,K$6:K$20)+SUMIF($N$78:$N$100,$U8,K$78:K$100))*$I$70*Poor!$B$68/$B$68)</f>
        <v>0</v>
      </c>
      <c r="S8" s="226">
        <f>IF($B$68=0,0,(SUMIF($N$6:$N$20,$U8,L$6:L$20)+SUMIF($N$78:$N$100,$U8,L$78:L$100))*$I$70*Poor!$B$68/$B$68)</f>
        <v>0</v>
      </c>
      <c r="T8" s="226">
        <f>IF($B$68=0,0,(SUMIF($N$6:$N$20,$U8,M$6:M$20)+SUMIF($N$78:$N$100,$U8,M$78:M$100))*$I$70*Poor!$B$68/$B$68)</f>
        <v>0</v>
      </c>
      <c r="U8" s="227">
        <v>2</v>
      </c>
      <c r="V8" s="185"/>
      <c r="W8" s="114"/>
      <c r="X8" s="123">
        <v>1</v>
      </c>
      <c r="Y8" s="184">
        <f t="shared" si="9"/>
        <v>3.7619344126193443E-3</v>
      </c>
      <c r="Z8" s="124">
        <f>IF($Y8=0,0,AA8/$Y8)</f>
        <v>0.43931480225856462</v>
      </c>
      <c r="AA8" s="120">
        <f>IF($X8=1,IF(SUM(AA$6,AA$12:AA$21)&lt;1,IF((1-SUM(AA$6,AA$12:AA$21))*$M8/SUM($M$7*IF($X$7=1,1,0),$M$8*IF($X$8=1,1,0),$M$9*IF($X$9=1,1,0),$M$10*IF($X$10=1,1,0),$M$11*IF($X$11=1,1,0))&lt;Y8,(1-SUM(AA$6,AA$12:AA$21))*$M8/SUM($M$7*IF($X$7=1,1,0),$M$8*IF($X$8=1,1,0),$M$9*IF($X$9=1,1,0),$M$10*IF($X$10=1,1,0),$M$11*IF($X$11=1,1,0)),Y8),0),0)</f>
        <v>1.6526734725895566E-3</v>
      </c>
      <c r="AB8" s="124">
        <f>IF($Y8=0,0,AC8/$Y8)</f>
        <v>0.31239573600981507</v>
      </c>
      <c r="AC8" s="120">
        <f>IF($X8&lt;3,IF(SUM(AC$6,AC$12:AC$21)&lt;1,IF(SUM(AC$6,AC$12:AC$21)+SUM((Y$7-AA$7)*IF($X$7&lt;3,1,0),(Y$8-AA$8)*IF($X$8&lt;3,1,0),(Y$9-AA$9)*IF($X$9&lt;3,1,0),(Y$10-AA$10)*IF($X$10&lt;3,1,0),(Y$11-AA$11)*IF($X$11&lt;3,1,0))&lt;1,Y8-AA8,IF((1-SUM(AC$6,AC$12:AC$21))*$M8/SUM($M$7*IF($X$7&lt;3,1,0),$M$8*IF($X$8&lt;3,1,0),$M$9*IF($X$9&lt;3,1,0),$M$10*IF($X$10&lt;3,1,0),$M$11*IF($X$11&lt;3,1,0))&lt;Y8-AA8,(1-SUM(AC$6,AC$12:AC$21))*$M8/SUM($M$7*IF($X$7&lt;3,1,0),$M$8*IF($X$8&lt;3,1,0),$M$9*IF($X$9&lt;3,1,0),$M$10*IF($X$10&lt;3,1,0),$M$11*IF($X$11&lt;3,1,0)),Y8-AA8)),0),0)</f>
        <v>1.1752122696508714E-3</v>
      </c>
      <c r="AD8" s="124">
        <f>IF($Y8=0,0,AE8/$Y8)</f>
        <v>0.24828946173162025</v>
      </c>
      <c r="AE8" s="120">
        <f>IF($X8&lt;4,IF(SUM(AE$6:AE$6,AE$12:AE$21)&lt;1,IF(SUM(AE$6:AE$6,AE$12:AE$21)+SUM((Y$7-AA$7-AC$7)*IF($X$7&lt;3,1,0),(Y$8-AA$8-AC$8)*IF($X$8&lt;3,1,0),(Y$9-AA$9-AC$9)*IF($X$9&lt;3,1,0),(Y$10-AA$10-AC$10)*IF($X$10&lt;3,1,0),(Y$11-AA$11-AC$11)*IF($X$11&lt;3,1,0))&lt;1,Y8-AA8-AC8,IF((1-SUM(AE$6:AE$6,AE$12:AE$21))*$M8/SUM($M$7*IF($X$7&lt;4,1,0),$M$8*IF($X$8&lt;4,1,0),$M$9*IF($X$9&lt;4,1,0),$M$10*IF($X$10&lt;4,1,0),$M$11*IF($X$11&lt;4,1,0))&lt;Y8-AA8-AC8,(1-SUM(AE$6:AE$6,AE$12:AE$21))*$M8/SUM($M$7*IF($X$7&lt;4,1,0),$M$8*IF($X$8&lt;4,1,0),$M$9*IF($X$9&lt;4,1,0),$M$10*IF($X$10&lt;4,1,0),$M$11*IF($X$11&lt;4,1,0)),Y8-AA8-AC8)),0),0)</f>
        <v>9.3404867037891605E-4</v>
      </c>
      <c r="AF8" s="121">
        <f t="shared" si="10"/>
        <v>0</v>
      </c>
      <c r="AG8" s="120">
        <f t="shared" si="11"/>
        <v>0</v>
      </c>
      <c r="AH8" s="122">
        <f t="shared" si="12"/>
        <v>1</v>
      </c>
      <c r="AI8" s="184">
        <f t="shared" si="13"/>
        <v>9.4048360315483596E-4</v>
      </c>
      <c r="AJ8" s="119">
        <f t="shared" si="14"/>
        <v>1.413942871120214E-3</v>
      </c>
      <c r="AK8" s="118">
        <f t="shared" si="15"/>
        <v>4.6702433518945802E-4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6">
        <f>IF([1]Summ!E1047="",0,[1]Summ!E1047)</f>
        <v>0.24841202054794523</v>
      </c>
      <c r="C9" s="216">
        <f>IF([1]Summ!F1047="",0,[1]Summ!F1047)</f>
        <v>0</v>
      </c>
      <c r="D9" s="24">
        <f t="shared" si="0"/>
        <v>0.24841202054794523</v>
      </c>
      <c r="E9" s="26">
        <v>1</v>
      </c>
      <c r="F9" s="28">
        <v>8800</v>
      </c>
      <c r="H9" s="24">
        <f t="shared" si="1"/>
        <v>1</v>
      </c>
      <c r="I9" s="22">
        <f t="shared" si="2"/>
        <v>0.24841202054794523</v>
      </c>
      <c r="J9" s="24">
        <f t="shared" si="3"/>
        <v>0.24841202054794523</v>
      </c>
      <c r="K9" s="22">
        <f t="shared" si="4"/>
        <v>0.24841202054794523</v>
      </c>
      <c r="L9" s="22">
        <f t="shared" si="5"/>
        <v>0.24841202054794523</v>
      </c>
      <c r="M9" s="228">
        <f t="shared" si="6"/>
        <v>0.24841202054794523</v>
      </c>
      <c r="N9" s="233">
        <v>1</v>
      </c>
      <c r="O9" s="2"/>
      <c r="P9" s="22"/>
      <c r="Q9" s="59" t="s">
        <v>74</v>
      </c>
      <c r="R9" s="226">
        <f>IF($B$68=0,0,(SUMIF($N$6:$N$20,$U9,K$6:K$20)+SUMIF($N$78:$N$100,$U9,K$78:K$100))*$I$70*Poor!$B$68/$B$68)</f>
        <v>166.87229187021356</v>
      </c>
      <c r="S9" s="226">
        <f>IF($B$68=0,0,(SUMIF($N$6:$N$20,$U9,L$6:L$20)+SUMIF($N$78:$N$100,$U9,L$78:L$100))*$I$70*Poor!$B$68/$B$68)</f>
        <v>166.87229187021356</v>
      </c>
      <c r="T9" s="226">
        <f>IF($B$68=0,0,(SUMIF($N$6:$N$20,$U9,M$6:M$20)+SUMIF($N$78:$N$100,$U9,M$78:M$100))*$I$70*Poor!$B$68/$B$68)</f>
        <v>166.87229187021356</v>
      </c>
      <c r="U9" s="227">
        <v>3</v>
      </c>
      <c r="V9" s="56"/>
      <c r="W9" s="114"/>
      <c r="X9" s="123">
        <v>1</v>
      </c>
      <c r="Y9" s="184">
        <f t="shared" si="9"/>
        <v>0.99364808219178091</v>
      </c>
      <c r="Z9" s="124">
        <f>IF($Y9=0,0,AA9/$Y9)</f>
        <v>0.43931480225856456</v>
      </c>
      <c r="AA9" s="120">
        <f>IF($X9=1,IF(SUM(AA$6,AA$12:AA$21)&lt;1,IF((1-SUM(AA$6,AA$12:AA$21))*$M9/SUM($M$7*IF($X$7=1,1,0),$M$8*IF($X$8=1,1,0),$M$9*IF($X$9=1,1,0),$M$10*IF($X$10=1,1,0),$M$11*IF($X$11=1,1,0))&lt;Y9,(1-SUM(AA$6,AA$12:AA$21))*$M9/SUM($M$7*IF($X$7=1,1,0),$M$8*IF($X$8=1,1,0),$M$9*IF($X$9=1,1,0),$M$10*IF($X$10=1,1,0),$M$11*IF($X$11=1,1,0)),Y9),0),0)</f>
        <v>0.43652431074268416</v>
      </c>
      <c r="AB9" s="124">
        <f>IF($Y9=0,0,AC9/$Y9)</f>
        <v>0.31239573600981502</v>
      </c>
      <c r="AC9" s="120">
        <f>IF($X9&lt;3,IF(SUM(AC$6,AC$12:AC$21)&lt;1,IF(SUM(AC$6,AC$12:AC$21)+SUM((Y$7-AA$7)*IF($X$7&lt;3,1,0),(Y$8-AA$8)*IF($X$8&lt;3,1,0),(Y$9-AA$9)*IF($X$9&lt;3,1,0),(Y$10-AA$10)*IF($X$10&lt;3,1,0),(Y$11-AA$11)*IF($X$11&lt;3,1,0))&lt;1,Y9-AA9,IF((1-SUM(AC$6,AC$12:AC$21))*$M9/SUM($M$7*IF($X$7&lt;3,1,0),$M$8*IF($X$8&lt;3,1,0),$M$9*IF($X$9&lt;3,1,0),$M$10*IF($X$10&lt;3,1,0),$M$11*IF($X$11&lt;3,1,0))&lt;Y9-AA9,(1-SUM(AC$6,AC$12:AC$21))*$M9/SUM($M$7*IF($X$7&lt;3,1,0),$M$8*IF($X$8&lt;3,1,0),$M$9*IF($X$9&lt;3,1,0),$M$10*IF($X$10&lt;3,1,0),$M$11*IF($X$11&lt;3,1,0)),Y9-AA9)),0),0)</f>
        <v>0.31041142397104254</v>
      </c>
      <c r="AD9" s="124">
        <f>IF($Y9=0,0,AE9/$Y9)</f>
        <v>0.24828946173162042</v>
      </c>
      <c r="AE9" s="120">
        <f>IF($X9&lt;4,IF(SUM(AE$6:AE$6,AE$12:AE$21)&lt;1,IF(SUM(AE$6:AE$6,AE$12:AE$21)+SUM((Y$7-AA$7-AC$7)*IF($X$7&lt;3,1,0),(Y$8-AA$8-AC$8)*IF($X$8&lt;3,1,0),(Y$9-AA$9-AC$9)*IF($X$9&lt;3,1,0),(Y$10-AA$10-AC$10)*IF($X$10&lt;3,1,0),(Y$11-AA$11-AC$11)*IF($X$11&lt;3,1,0))&lt;1,Y9-AA9-AC9,IF((1-SUM(AE$6:AE$6,AE$12:AE$21))*$M9/SUM($M$7*IF($X$7&lt;4,1,0),$M$8*IF($X$8&lt;4,1,0),$M$9*IF($X$9&lt;4,1,0),$M$10*IF($X$10&lt;4,1,0),$M$11*IF($X$11&lt;4,1,0))&lt;Y9-AA9-AC9,(1-SUM(AE$6:AE$6,AE$12:AE$21))*$M9/SUM($M$7*IF($X$7&lt;4,1,0),$M$8*IF($X$8&lt;4,1,0),$M$9*IF($X$9&lt;4,1,0),$M$10*IF($X$10&lt;4,1,0),$M$11*IF($X$11&lt;4,1,0)),Y9-AA9-AC9)),0),0)</f>
        <v>0.24671234747805421</v>
      </c>
      <c r="AF9" s="121">
        <f t="shared" si="10"/>
        <v>0</v>
      </c>
      <c r="AG9" s="120">
        <f t="shared" si="11"/>
        <v>0</v>
      </c>
      <c r="AH9" s="122">
        <f t="shared" si="12"/>
        <v>1</v>
      </c>
      <c r="AI9" s="184">
        <f t="shared" si="13"/>
        <v>0.2484120205479452</v>
      </c>
      <c r="AJ9" s="119">
        <f t="shared" si="14"/>
        <v>0.37346786735686333</v>
      </c>
      <c r="AK9" s="118">
        <f t="shared" si="15"/>
        <v>0.1233561737390271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Sorghum: kg produced</v>
      </c>
      <c r="B10" s="216">
        <f>IF([1]Summ!E1048="",0,[1]Summ!E1048)</f>
        <v>0</v>
      </c>
      <c r="C10" s="216">
        <f>IF([1]Summ!F1048="",0,[1]Summ!F1048)</f>
        <v>0</v>
      </c>
      <c r="D10" s="24">
        <f t="shared" si="0"/>
        <v>0</v>
      </c>
      <c r="E10" s="250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8">
        <f t="shared" si="6"/>
        <v>0</v>
      </c>
      <c r="N10" s="233">
        <v>1</v>
      </c>
      <c r="O10" s="2"/>
      <c r="P10" s="22"/>
      <c r="Q10" s="59" t="s">
        <v>75</v>
      </c>
      <c r="R10" s="226">
        <f>IF($B$68=0,0,(SUMIF($N$6:$N$20,$U10,K$6:K$20)+SUMIF($N$78:$N$100,$U10,K$78:K$100))*$I$70*Poor!$B$68/$B$68)</f>
        <v>0</v>
      </c>
      <c r="S10" s="226">
        <f>IF($B$68=0,0,(SUMIF($N$6:$N$20,$U10,L$6:L$20)+SUMIF($N$78:$N$100,$U10,L$78:L$100))*$I$70*Poor!$B$68/$B$68)</f>
        <v>0</v>
      </c>
      <c r="T10" s="226">
        <f>IF($B$68=0,0,(SUMIF($N$6:$N$20,$U10,M$6:M$20)+SUMIF($N$78:$N$100,$U10,M$78:M$100))*$I$70*Poor!$B$68/$B$68)</f>
        <v>0</v>
      </c>
      <c r="U10" s="227">
        <v>4</v>
      </c>
      <c r="V10" s="56"/>
      <c r="W10" s="114"/>
      <c r="X10" s="123">
        <v>1</v>
      </c>
      <c r="Y10" s="184">
        <f t="shared" si="9"/>
        <v>0</v>
      </c>
      <c r="Z10" s="124">
        <f>IF($Y10=0,0,AA10/$Y10)</f>
        <v>0</v>
      </c>
      <c r="AA10" s="120">
        <f>IF($X10=1,IF(SUM(AA$6,AA$12:AA$21)&lt;1,IF((1-SUM(AA$6,AA$12:AA$21))*$M10/SUM($M$7*IF($X$7=1,1,0),$M$8*IF($X$8=1,1,0),$M$9*IF($X$9=1,1,0),$M$10*IF($X$10=1,1,0),$M$11*IF($X$11=1,1,0))&lt;Y10,(1-SUM(AA$6,AA$12:AA$21))*$M10/SUM($M$7*IF($X$7=1,1,0),$M$8*IF($X$8=1,1,0),$M$9*IF($X$9=1,1,0),$M$10*IF($X$10=1,1,0),$M$11*IF($X$11=1,1,0)),Y10),0),0)</f>
        <v>0</v>
      </c>
      <c r="AB10" s="124">
        <f>IF($Y10=0,0,AC10/$Y10)</f>
        <v>0</v>
      </c>
      <c r="AC10" s="120">
        <f>IF($X10&lt;3,IF(SUM(AC$6,AC$12:AC$21)&lt;1,IF(SUM(AC$6,AC$12:AC$21)+SUM((Y$7-AA$7)*IF($X$7&lt;3,1,0),(Y$8-AA$8)*IF($X$8&lt;3,1,0),(Y$9-AA$9)*IF($X$9&lt;3,1,0),(Y$10-AA$10)*IF($X$10&lt;3,1,0),(Y$11-AA$11)*IF($X$11&lt;3,1,0))&lt;1,Y10-AA10,IF((1-SUM(AC$6,AC$12:AC$21))*$M10/SUM($M$7*IF($X$7&lt;3,1,0),$M$8*IF($X$8&lt;3,1,0),$M$9*IF($X$9&lt;3,1,0),$M$10*IF($X$10&lt;3,1,0),$M$11*IF($X$11&lt;3,1,0))&lt;Y10-AA10,(1-SUM(AC$6,AC$12:AC$21))*$M10/SUM($M$7*IF($X$7&lt;3,1,0),$M$8*IF($X$8&lt;3,1,0),$M$9*IF($X$9&lt;3,1,0),$M$10*IF($X$10&lt;3,1,0),$M$11*IF($X$11&lt;3,1,0)),Y10-AA10)),0),0)</f>
        <v>0</v>
      </c>
      <c r="AD10" s="124">
        <f>IF($Y10=0,0,AE10/$Y10)</f>
        <v>0</v>
      </c>
      <c r="AE10" s="120">
        <f>IF($X10&lt;4,IF(SUM(AE$6:AE$6,AE$12:AE$21)&lt;1,IF(SUM(AE$6:AE$6,AE$12:AE$21)+SUM((Y$7-AA$7-AC$7)*IF($X$7&lt;3,1,0),(Y$8-AA$8-AC$8)*IF($X$8&lt;3,1,0),(Y$9-AA$9-AC$9)*IF($X$9&lt;3,1,0),(Y$10-AA$10-AC$10)*IF($X$10&lt;3,1,0),(Y$11-AA$11-AC$11)*IF($X$11&lt;3,1,0))&lt;1,Y10-AA10-AC10,IF((1-SUM(AE$6:AE$6,AE$12:AE$21))*$M10/SUM($M$7*IF($X$7&lt;4,1,0),$M$8*IF($X$8&lt;4,1,0),$M$9*IF($X$9&lt;4,1,0),$M$10*IF($X$10&lt;4,1,0),$M$11*IF($X$11&lt;4,1,0))&lt;Y10-AA10-AC10,(1-SUM(AE$6:AE$6,AE$12:AE$21))*$M10/SUM($M$7*IF($X$7&lt;4,1,0),$M$8*IF($X$8&lt;4,1,0),$M$9*IF($X$9&lt;4,1,0),$M$10*IF($X$10&lt;4,1,0),$M$11*IF($X$11&lt;4,1,0)),Y10-AA10-AC10)),0),0)</f>
        <v>0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4">
        <f t="shared" si="13"/>
        <v>0</v>
      </c>
      <c r="AJ10" s="119">
        <f t="shared" si="14"/>
        <v>0</v>
      </c>
      <c r="AK10" s="118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Cowpeas: kg produced</v>
      </c>
      <c r="B11" s="216">
        <f>IF([1]Summ!E1049="",0,[1]Summ!E1049)</f>
        <v>1.8466064757160647E-2</v>
      </c>
      <c r="C11" s="216">
        <f>IF([1]Summ!F1049="",0,[1]Summ!F1049)</f>
        <v>0</v>
      </c>
      <c r="D11" s="24">
        <f t="shared" si="0"/>
        <v>1.8466064757160647E-2</v>
      </c>
      <c r="E11" s="26">
        <v>1</v>
      </c>
      <c r="H11" s="24">
        <f t="shared" si="1"/>
        <v>1</v>
      </c>
      <c r="I11" s="22">
        <f t="shared" si="2"/>
        <v>1.8466064757160647E-2</v>
      </c>
      <c r="J11" s="24">
        <f t="shared" si="3"/>
        <v>1.8466064757160647E-2</v>
      </c>
      <c r="K11" s="22">
        <f t="shared" si="4"/>
        <v>1.8466064757160647E-2</v>
      </c>
      <c r="L11" s="22">
        <f t="shared" si="5"/>
        <v>1.8466064757160647E-2</v>
      </c>
      <c r="M11" s="228">
        <f t="shared" si="6"/>
        <v>1.8466064757160647E-2</v>
      </c>
      <c r="N11" s="233">
        <v>1</v>
      </c>
      <c r="O11" s="2"/>
      <c r="P11" s="22"/>
      <c r="Q11" s="59" t="s">
        <v>76</v>
      </c>
      <c r="R11" s="226">
        <f>IF($B$68=0,0,(SUMIF($N$6:$N$20,$U11,K$6:K$20)+SUMIF($N$78:$N$100,$U11,K$78:K$100))*$I$70*Poor!$B$68/$B$68)</f>
        <v>4065.6</v>
      </c>
      <c r="S11" s="226">
        <f>IF($B$68=0,0,(SUMIF($N$6:$N$20,$U11,L$6:L$20)+SUMIF($N$78:$N$100,$U11,L$78:L$100))*$I$70*Poor!$B$68/$B$68)</f>
        <v>4016.7000000000007</v>
      </c>
      <c r="T11" s="226">
        <f>IF($B$68=0,0,(SUMIF($N$6:$N$20,$U11,M$6:M$20)+SUMIF($N$78:$N$100,$U11,M$78:M$100))*$I$70*Poor!$B$68/$B$68)</f>
        <v>4016.7000000000007</v>
      </c>
      <c r="U11" s="227">
        <v>5</v>
      </c>
      <c r="V11" s="56"/>
      <c r="W11" s="114"/>
      <c r="X11" s="123">
        <v>1</v>
      </c>
      <c r="Y11" s="184">
        <f t="shared" si="9"/>
        <v>7.386425902864259E-2</v>
      </c>
      <c r="Z11" s="124">
        <f>IF($Y11=0,0,AA11/$Y11)</f>
        <v>0.43931480225856462</v>
      </c>
      <c r="AA11" s="120">
        <f>IF($X11=1,IF(SUM(AA$6,AA$12:AA$21)&lt;1,IF((1-SUM(AA$6,AA$12:AA$21))*$M11/SUM($M$7*IF($X$7=1,1,0),$M$8*IF($X$8=1,1,0),$M$9*IF($X$9=1,1,0),$M$10*IF($X$10=1,1,0),$M$11*IF($X$11=1,1,0))&lt;Y11,(1-SUM(AA$6,AA$12:AA$21))*$M11/SUM($M$7*IF($X$7=1,1,0),$M$8*IF($X$8=1,1,0),$M$9*IF($X$9=1,1,0),$M$10*IF($X$10=1,1,0),$M$11*IF($X$11=1,1,0)),Y11),0),0)</f>
        <v>3.2449662349143517E-2</v>
      </c>
      <c r="AB11" s="124">
        <f>IF($Y11=0,0,AC11/$Y11)</f>
        <v>0.31239573600981502</v>
      </c>
      <c r="AC11" s="120">
        <f>IF($X11&lt;3,IF(SUM(AC$6,AC$12:AC$21)&lt;1,IF(SUM(AC$6,AC$12:AC$21)+SUM((Y$7-AA$7)*IF($X$7&lt;3,1,0),(Y$8-AA$8)*IF($X$8&lt;3,1,0),(Y$9-AA$9)*IF($X$9&lt;3,1,0),(Y$10-AA$10)*IF($X$10&lt;3,1,0),(Y$11-AA$11)*IF($X$11&lt;3,1,0))&lt;1,Y11-AA11,IF((1-SUM(AC$6,AC$12:AC$21))*$M11/SUM($M$7*IF($X$7&lt;3,1,0),$M$8*IF($X$8&lt;3,1,0),$M$9*IF($X$9&lt;3,1,0),$M$10*IF($X$10&lt;3,1,0),$M$11*IF($X$11&lt;3,1,0))&lt;Y11-AA11,(1-SUM(AC$6,AC$12:AC$21))*$M11/SUM($M$7*IF($X$7&lt;3,1,0),$M$8*IF($X$8&lt;3,1,0),$M$9*IF($X$9&lt;3,1,0),$M$10*IF($X$10&lt;3,1,0),$M$11*IF($X$11&lt;3,1,0)),Y11-AA11)),0),0)</f>
        <v>2.3074879564072427E-2</v>
      </c>
      <c r="AD11" s="124">
        <f>IF($Y11=0,0,AE11/$Y11)</f>
        <v>0.24828946173162034</v>
      </c>
      <c r="AE11" s="120">
        <f>IF($X11&lt;4,IF(SUM(AE$6:AE$6,AE$12:AE$21)&lt;1,IF(SUM(AE$6:AE$6,AE$12:AE$21)+SUM((Y$7-AA$7-AC$7)*IF($X$7&lt;3,1,0),(Y$8-AA$8-AC$8)*IF($X$8&lt;3,1,0),(Y$9-AA$9-AC$9)*IF($X$9&lt;3,1,0),(Y$10-AA$10-AC$10)*IF($X$10&lt;3,1,0),(Y$11-AA$11-AC$11)*IF($X$11&lt;3,1,0))&lt;1,Y11-AA11-AC11,IF((1-SUM(AE$6:AE$6,AE$12:AE$21))*$M11/SUM($M$7*IF($X$7&lt;4,1,0),$M$8*IF($X$8&lt;4,1,0),$M$9*IF($X$9&lt;4,1,0),$M$10*IF($X$10&lt;4,1,0),$M$11*IF($X$11&lt;4,1,0))&lt;Y11-AA11-AC11,(1-SUM(AE$6:AE$6,AE$12:AE$21))*$M11/SUM($M$7*IF($X$7&lt;4,1,0),$M$8*IF($X$8&lt;4,1,0),$M$9*IF($X$9&lt;4,1,0),$M$10*IF($X$10&lt;4,1,0),$M$11*IF($X$11&lt;4,1,0)),Y11-AA11-AC11)),0),0)</f>
        <v>1.8339717115426646E-2</v>
      </c>
      <c r="AF11" s="121">
        <f t="shared" si="10"/>
        <v>0</v>
      </c>
      <c r="AG11" s="120">
        <f t="shared" si="11"/>
        <v>0</v>
      </c>
      <c r="AH11" s="122">
        <f t="shared" si="12"/>
        <v>1</v>
      </c>
      <c r="AI11" s="184">
        <f t="shared" si="13"/>
        <v>1.8466064757160647E-2</v>
      </c>
      <c r="AJ11" s="119">
        <f t="shared" si="14"/>
        <v>2.7762270956607972E-2</v>
      </c>
      <c r="AK11" s="118">
        <f t="shared" si="15"/>
        <v>9.1698585577133229E-3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6">
        <f>IF([1]Summ!E1050="",0,[1]Summ!E1050)</f>
        <v>7.3647011207970112E-2</v>
      </c>
      <c r="C12" s="216">
        <f>IF([1]Summ!F1050="",0,[1]Summ!F1050)</f>
        <v>0</v>
      </c>
      <c r="D12" s="24">
        <f t="shared" si="0"/>
        <v>7.3647011207970112E-2</v>
      </c>
      <c r="E12" s="26">
        <v>1</v>
      </c>
      <c r="H12" s="24">
        <f t="shared" si="1"/>
        <v>1</v>
      </c>
      <c r="I12" s="22">
        <f t="shared" si="2"/>
        <v>7.3647011207970112E-2</v>
      </c>
      <c r="J12" s="24">
        <f t="shared" si="3"/>
        <v>7.3647011207970112E-2</v>
      </c>
      <c r="K12" s="22">
        <f t="shared" si="4"/>
        <v>7.3647011207970112E-2</v>
      </c>
      <c r="L12" s="22">
        <f t="shared" si="5"/>
        <v>7.3647011207970112E-2</v>
      </c>
      <c r="M12" s="228">
        <f t="shared" si="6"/>
        <v>7.3647011207970112E-2</v>
      </c>
      <c r="N12" s="233">
        <v>1</v>
      </c>
      <c r="O12" s="2"/>
      <c r="P12" s="22"/>
      <c r="Q12" s="125" t="s">
        <v>125</v>
      </c>
      <c r="R12" s="226">
        <f>IF($B$68=0,0,(SUMIF($N$6:$N$20,$U12,K$6:K$20)+SUMIF($N$78:$N$100,$U12,K$78:K$100))*$I$70*Poor!$B$68/$B$68)</f>
        <v>0</v>
      </c>
      <c r="S12" s="226">
        <f>IF($B$68=0,0,(SUMIF($N$6:$N$20,$U12,L$6:L$20)+SUMIF($N$78:$N$100,$U12,L$78:L$100))*$I$70*Poor!$B$68/$B$68)</f>
        <v>0</v>
      </c>
      <c r="T12" s="226">
        <f>IF($B$68=0,0,(SUMIF($N$6:$N$20,$U12,M$6:M$20)+SUMIF($N$78:$N$100,$U12,M$78:M$100))*$I$70*Poor!$B$68/$B$68)</f>
        <v>906.19104399145556</v>
      </c>
      <c r="U12" s="227">
        <v>6</v>
      </c>
      <c r="V12" s="56"/>
      <c r="W12" s="116"/>
      <c r="X12" s="117"/>
      <c r="Y12" s="184">
        <f t="shared" si="9"/>
        <v>0.29458804483188045</v>
      </c>
      <c r="Z12" s="115">
        <v>0</v>
      </c>
      <c r="AA12" s="120">
        <f>$M12*Z12*4</f>
        <v>0</v>
      </c>
      <c r="AB12" s="115">
        <v>0</v>
      </c>
      <c r="AC12" s="120">
        <f>$M12*AB12*4</f>
        <v>0</v>
      </c>
      <c r="AD12" s="115">
        <v>0.67</v>
      </c>
      <c r="AE12" s="120">
        <f>$M12*AD12*4</f>
        <v>0.19737399003735992</v>
      </c>
      <c r="AF12" s="121">
        <f>1-SUM(Z12,AB12,AD12)</f>
        <v>0.32999999999999996</v>
      </c>
      <c r="AG12" s="120">
        <f>$M12*AF12*4</f>
        <v>9.7214054794520541E-2</v>
      </c>
      <c r="AH12" s="122">
        <f t="shared" si="12"/>
        <v>1</v>
      </c>
      <c r="AI12" s="184">
        <f t="shared" si="13"/>
        <v>7.3647011207970112E-2</v>
      </c>
      <c r="AJ12" s="119">
        <f t="shared" si="14"/>
        <v>0</v>
      </c>
      <c r="AK12" s="118">
        <f t="shared" si="15"/>
        <v>0.14729402241594022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Groundnuts (dry): no. local meas</v>
      </c>
      <c r="B13" s="216">
        <f>IF([1]Summ!E1051="",0,[1]Summ!E1051)</f>
        <v>6.0087173100871732E-3</v>
      </c>
      <c r="C13" s="216">
        <f>IF([1]Summ!F1051="",0,[1]Summ!F1051)</f>
        <v>0</v>
      </c>
      <c r="D13" s="24">
        <f t="shared" si="0"/>
        <v>6.0087173100871732E-3</v>
      </c>
      <c r="E13" s="26">
        <v>1</v>
      </c>
      <c r="H13" s="24">
        <f t="shared" si="1"/>
        <v>1</v>
      </c>
      <c r="I13" s="22">
        <f t="shared" si="2"/>
        <v>6.0087173100871732E-3</v>
      </c>
      <c r="J13" s="24">
        <f t="shared" si="3"/>
        <v>6.0087173100871732E-3</v>
      </c>
      <c r="K13" s="22">
        <f t="shared" si="4"/>
        <v>6.0087173100871732E-3</v>
      </c>
      <c r="L13" s="22">
        <f t="shared" si="5"/>
        <v>6.0087173100871732E-3</v>
      </c>
      <c r="M13" s="229">
        <f t="shared" si="6"/>
        <v>6.0087173100871732E-3</v>
      </c>
      <c r="N13" s="233">
        <v>1</v>
      </c>
      <c r="O13" s="2"/>
      <c r="P13" s="22"/>
      <c r="Q13" s="59" t="s">
        <v>77</v>
      </c>
      <c r="R13" s="226">
        <f>IF($B$68=0,0,(SUMIF($N$6:$N$20,$U13,K$6:K$20)+SUMIF($N$78:$N$100,$U13,K$78:K$100))*$I$70*Poor!$B$68/$B$68)</f>
        <v>14464.800000000003</v>
      </c>
      <c r="S13" s="226">
        <f>IF($B$68=0,0,(SUMIF($N$6:$N$20,$U13,L$6:L$20)+SUMIF($N$78:$N$100,$U13,L$78:L$100))*$I$70*Poor!$B$68/$B$68)</f>
        <v>13229.467500000004</v>
      </c>
      <c r="T13" s="226">
        <f>IF($B$68=0,0,(SUMIF($N$6:$N$20,$U13,M$6:M$20)+SUMIF($N$78:$N$100,$U13,M$78:M$100))*$I$70*Poor!$B$68/$B$68)</f>
        <v>13229.467500000004</v>
      </c>
      <c r="U13" s="227">
        <v>7</v>
      </c>
      <c r="V13" s="56"/>
      <c r="W13" s="109"/>
      <c r="X13" s="117"/>
      <c r="Y13" s="184">
        <f t="shared" si="9"/>
        <v>2.4034869240348693E-2</v>
      </c>
      <c r="Z13" s="115">
        <v>1</v>
      </c>
      <c r="AA13" s="120">
        <f>$M13*Z13*4</f>
        <v>2.4034869240348693E-2</v>
      </c>
      <c r="AB13" s="115">
        <v>0</v>
      </c>
      <c r="AC13" s="120">
        <f>$M13*AB13*4</f>
        <v>0</v>
      </c>
      <c r="AD13" s="115"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4">
        <f t="shared" si="13"/>
        <v>6.0087173100871732E-3</v>
      </c>
      <c r="AJ13" s="119">
        <f t="shared" si="14"/>
        <v>1.2017434620174346E-2</v>
      </c>
      <c r="AK13" s="118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WILD FOODS -- see worksheet Data 3</v>
      </c>
      <c r="B14" s="216">
        <f>IF([1]Summ!E1052="",0,[1]Summ!E1052)</f>
        <v>0</v>
      </c>
      <c r="C14" s="216">
        <f>IF([1]Summ!F1052="",0,[1]Summ!F1052)</f>
        <v>0.05</v>
      </c>
      <c r="D14" s="24">
        <f t="shared" si="0"/>
        <v>0.05</v>
      </c>
      <c r="E14" s="26">
        <v>0.8</v>
      </c>
      <c r="F14" s="22"/>
      <c r="H14" s="24">
        <f t="shared" si="1"/>
        <v>0.8</v>
      </c>
      <c r="I14" s="22">
        <f t="shared" si="2"/>
        <v>4.0000000000000008E-2</v>
      </c>
      <c r="J14" s="24">
        <f>IF(I$24&lt;=1+I113,I14,B14*H14+J$25*(I14-B14*H14))</f>
        <v>4.0000000000000008E-2</v>
      </c>
      <c r="K14" s="22">
        <f t="shared" si="4"/>
        <v>0</v>
      </c>
      <c r="L14" s="22">
        <f t="shared" si="5"/>
        <v>0</v>
      </c>
      <c r="M14" s="229">
        <f t="shared" si="6"/>
        <v>4.0000000000000008E-2</v>
      </c>
      <c r="N14" s="233">
        <v>6</v>
      </c>
      <c r="O14" s="2"/>
      <c r="P14" s="22"/>
      <c r="Q14" s="125" t="s">
        <v>78</v>
      </c>
      <c r="R14" s="226">
        <f>IF($B$68=0,0,(SUMIF($N$6:$N$20,$U14,K$6:K$20)+SUMIF($N$78:$N$100,$U14,K$78:K$100))*$I$70*Poor!$B$68/$B$68)</f>
        <v>0</v>
      </c>
      <c r="S14" s="226">
        <f>IF($B$68=0,0,(SUMIF($N$6:$N$20,$U14,L$6:L$20)+SUMIF($N$78:$N$100,$U14,L$78:L$100))*$I$70*Poor!$B$68/$B$68)</f>
        <v>0</v>
      </c>
      <c r="T14" s="226">
        <f>IF($B$68=0,0,(SUMIF($N$6:$N$20,$U14,M$6:M$20)+SUMIF($N$78:$N$100,$U14,M$78:M$100))*$I$70*Poor!$B$68/$B$68)</f>
        <v>0</v>
      </c>
      <c r="U14" s="227">
        <v>8</v>
      </c>
      <c r="V14" s="56"/>
      <c r="W14" s="109"/>
      <c r="X14" s="117"/>
      <c r="Y14" s="184">
        <f>M14*4</f>
        <v>0.16000000000000003</v>
      </c>
      <c r="Z14" s="115">
        <v>0</v>
      </c>
      <c r="AA14" s="120">
        <f t="shared" ref="AA14:AA21" si="16">$M14*Z14*4</f>
        <v>0</v>
      </c>
      <c r="AB14" s="115">
        <v>1</v>
      </c>
      <c r="AC14" s="120">
        <f t="shared" si="7"/>
        <v>0.16000000000000003</v>
      </c>
      <c r="AD14" s="115"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4">
        <f>SUM(AA14,AC14,AE14,AG14)/4</f>
        <v>4.0000000000000008E-2</v>
      </c>
      <c r="AJ14" s="119">
        <f t="shared" si="14"/>
        <v>8.0000000000000016E-2</v>
      </c>
      <c r="AK14" s="118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6">
        <f>IF([1]Summ!E1053="",0,[1]Summ!E1053)</f>
        <v>0</v>
      </c>
      <c r="C15" s="216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IF(I$24&lt;=1+I113,I15,B15*H15+J$25*(I15-B15*H15))</f>
        <v>0</v>
      </c>
      <c r="K15" s="22">
        <f t="shared" si="4"/>
        <v>0</v>
      </c>
      <c r="L15" s="22">
        <f t="shared" si="5"/>
        <v>0</v>
      </c>
      <c r="M15" s="230">
        <f t="shared" si="6"/>
        <v>0</v>
      </c>
      <c r="N15" s="233"/>
      <c r="O15" s="2"/>
      <c r="P15" s="22"/>
      <c r="Q15" s="59" t="s">
        <v>128</v>
      </c>
      <c r="R15" s="226">
        <f>IF($B$68=0,0,(SUMIF($N$6:$N$20,$U15,K$6:K$20)+SUMIF($N$78:$N$100,$U15,K$78:K$100))*$I$70*Poor!$B$68/$B$68)</f>
        <v>0</v>
      </c>
      <c r="S15" s="226">
        <f>IF($B$68=0,0,(SUMIF($N$6:$N$20,$U15,L$6:L$20)+SUMIF($N$78:$N$100,$U15,L$78:L$100))*$I$70*Poor!$B$68/$B$68)</f>
        <v>0</v>
      </c>
      <c r="T15" s="226">
        <f>IF($B$68=0,0,(SUMIF($N$6:$N$20,$U15,M$6:M$20)+SUMIF($N$78:$N$100,$U15,M$78:M$100))*$I$70*Poor!$B$68/$B$68)</f>
        <v>0</v>
      </c>
      <c r="U15" s="227">
        <v>9</v>
      </c>
      <c r="V15" s="56"/>
      <c r="W15" s="109"/>
      <c r="X15" s="117"/>
      <c r="Y15" s="184">
        <f t="shared" si="9"/>
        <v>0</v>
      </c>
      <c r="Z15" s="115">
        <v>0.25</v>
      </c>
      <c r="AA15" s="120">
        <f t="shared" si="16"/>
        <v>0</v>
      </c>
      <c r="AB15" s="115">
        <v>0.25</v>
      </c>
      <c r="AC15" s="120">
        <f t="shared" si="7"/>
        <v>0</v>
      </c>
      <c r="AD15" s="115"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4">
        <f t="shared" si="13"/>
        <v>0</v>
      </c>
      <c r="AJ15" s="119">
        <f t="shared" si="14"/>
        <v>0</v>
      </c>
      <c r="AK15" s="118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6">
        <f>IF([1]Summ!E1054="",0,[1]Summ!E1054)</f>
        <v>0</v>
      </c>
      <c r="C16" s="216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IF(I$24&lt;=1+I113,I16,B16*H16+J$25*(I16-B16*H16))</f>
        <v>0</v>
      </c>
      <c r="K16" s="22">
        <f t="shared" si="4"/>
        <v>0</v>
      </c>
      <c r="L16" s="22">
        <f t="shared" si="5"/>
        <v>0</v>
      </c>
      <c r="M16" s="228">
        <f t="shared" si="6"/>
        <v>0</v>
      </c>
      <c r="N16" s="233"/>
      <c r="O16" s="2"/>
      <c r="P16" s="22"/>
      <c r="Q16" s="125" t="s">
        <v>79</v>
      </c>
      <c r="R16" s="226">
        <f>IF($B$68=0,0,(SUMIF($N$6:$N$20,$U16,K$6:K$20)+SUMIF($N$78:$N$100,$U16,K$78:K$100))*$I$70*Poor!$B$68/$B$68)</f>
        <v>5644.8</v>
      </c>
      <c r="S16" s="226">
        <f>IF($B$68=0,0,(SUMIF($N$6:$N$20,$U16,L$6:L$20)+SUMIF($N$78:$N$100,$U16,L$78:L$100))*$I$70*Poor!$B$68/$B$68)</f>
        <v>5544.0000000000009</v>
      </c>
      <c r="T16" s="226">
        <f>IF($B$68=0,0,(SUMIF($N$6:$N$20,$U16,M$6:M$20)+SUMIF($N$78:$N$100,$U16,M$78:M$100))*$I$70*Poor!$B$68/$B$68)</f>
        <v>6652.800000000002</v>
      </c>
      <c r="U16" s="227">
        <v>10</v>
      </c>
      <c r="V16" s="56"/>
      <c r="W16" s="109"/>
      <c r="X16" s="117"/>
      <c r="Y16" s="184">
        <f t="shared" si="9"/>
        <v>0</v>
      </c>
      <c r="Z16" s="115">
        <v>0</v>
      </c>
      <c r="AA16" s="120">
        <f t="shared" si="16"/>
        <v>0</v>
      </c>
      <c r="AB16" s="115">
        <v>0</v>
      </c>
      <c r="AC16" s="120">
        <f t="shared" si="7"/>
        <v>0</v>
      </c>
      <c r="AD16" s="115">
        <v>0</v>
      </c>
      <c r="AE16" s="120">
        <f t="shared" si="8"/>
        <v>0</v>
      </c>
      <c r="AF16" s="121">
        <f t="shared" si="10"/>
        <v>1</v>
      </c>
      <c r="AG16" s="120">
        <f t="shared" si="11"/>
        <v>0</v>
      </c>
      <c r="AH16" s="122">
        <f t="shared" si="12"/>
        <v>1</v>
      </c>
      <c r="AI16" s="184">
        <f t="shared" si="13"/>
        <v>0</v>
      </c>
      <c r="AJ16" s="119">
        <f t="shared" si="14"/>
        <v>0</v>
      </c>
      <c r="AK16" s="118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6">
        <f>IF([1]Summ!E1055="",0,[1]Summ!E1055)</f>
        <v>0</v>
      </c>
      <c r="C17" s="216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>IF(I$24&lt;=1+I113,I17,B17*H17+J$25*(I17-B17*H17))</f>
        <v>0</v>
      </c>
      <c r="K17" s="22">
        <f t="shared" si="4"/>
        <v>0</v>
      </c>
      <c r="L17" s="22">
        <f t="shared" si="5"/>
        <v>0</v>
      </c>
      <c r="M17" s="229">
        <f t="shared" si="6"/>
        <v>0</v>
      </c>
      <c r="N17" s="233"/>
      <c r="O17" s="2"/>
      <c r="P17" s="22"/>
      <c r="Q17" s="125" t="s">
        <v>126</v>
      </c>
      <c r="R17" s="226">
        <f>IF($B$68=0,0,(SUMIF($N$6:$N$20,$U17,K$6:K$20)+SUMIF($N$78:$N$100,$U17,K$78:K$100))*$I$70*Poor!$B$68/$B$68)</f>
        <v>4032.0000000000005</v>
      </c>
      <c r="S17" s="226">
        <f>IF($B$68=0,0,(SUMIF($N$6:$N$20,$U17,L$6:L$20)+SUMIF($N$78:$N$100,$U17,L$78:L$100))*$I$70*Poor!$B$68/$B$68)</f>
        <v>3780.0000000000005</v>
      </c>
      <c r="T17" s="226">
        <f>IF($B$68=0,0,(SUMIF($N$6:$N$20,$U17,M$6:M$20)+SUMIF($N$78:$N$100,$U17,M$78:M$100))*$I$70*Poor!$B$68/$B$68)</f>
        <v>3780.0000000000005</v>
      </c>
      <c r="U17" s="227">
        <v>11</v>
      </c>
      <c r="V17" s="56"/>
      <c r="W17" s="109"/>
      <c r="X17" s="117"/>
      <c r="Y17" s="184">
        <f t="shared" si="9"/>
        <v>0</v>
      </c>
      <c r="Z17" s="115">
        <v>0.29409999999999997</v>
      </c>
      <c r="AA17" s="120">
        <f t="shared" si="16"/>
        <v>0</v>
      </c>
      <c r="AB17" s="115">
        <v>0.17649999999999999</v>
      </c>
      <c r="AC17" s="120">
        <f t="shared" si="7"/>
        <v>0</v>
      </c>
      <c r="AD17" s="115">
        <v>0.23530000000000001</v>
      </c>
      <c r="AE17" s="120">
        <f t="shared" si="8"/>
        <v>0</v>
      </c>
      <c r="AF17" s="121">
        <f t="shared" si="10"/>
        <v>0.29410000000000003</v>
      </c>
      <c r="AG17" s="120">
        <f t="shared" si="11"/>
        <v>0</v>
      </c>
      <c r="AH17" s="122">
        <f t="shared" si="12"/>
        <v>1</v>
      </c>
      <c r="AI17" s="184">
        <f t="shared" si="13"/>
        <v>0</v>
      </c>
      <c r="AJ17" s="119">
        <f t="shared" si="14"/>
        <v>0</v>
      </c>
      <c r="AK17" s="118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Food aid</v>
      </c>
      <c r="B18" s="216">
        <f>IF([1]Summ!E1056="",0,[1]Summ!E1056)</f>
        <v>7.9365079365079375E-2</v>
      </c>
      <c r="C18" s="216">
        <f>IF([1]Summ!F1056="",0,[1]Summ!F1056)</f>
        <v>0</v>
      </c>
      <c r="D18" s="24">
        <f>SUM(B18,C18)</f>
        <v>7.9365079365079375E-2</v>
      </c>
      <c r="E18" s="26">
        <v>1</v>
      </c>
      <c r="F18" s="22"/>
      <c r="H18" s="24">
        <f t="shared" si="1"/>
        <v>1</v>
      </c>
      <c r="I18" s="22">
        <f t="shared" si="2"/>
        <v>7.9365079365079375E-2</v>
      </c>
      <c r="J18" s="24">
        <f>IF(I$24&lt;=1+I113,I18,B18*H18+J$25*(I18-B18*H18))</f>
        <v>7.9365079365079375E-2</v>
      </c>
      <c r="K18" s="22">
        <f t="shared" si="4"/>
        <v>7.9365079365079375E-2</v>
      </c>
      <c r="L18" s="22">
        <f t="shared" si="5"/>
        <v>7.9365079365079375E-2</v>
      </c>
      <c r="M18" s="228">
        <f t="shared" si="6"/>
        <v>7.9365079365079375E-2</v>
      </c>
      <c r="N18" s="233"/>
      <c r="O18" s="2"/>
      <c r="P18" s="22"/>
      <c r="Q18" s="59" t="s">
        <v>80</v>
      </c>
      <c r="R18" s="226">
        <f>IF($B$68=0,0,(SUMIF($N$6:$N$20,$U18,K$6:K$20)+SUMIF($N$78:$N$100,$U18,K$78:K$100))*$I$70*Poor!$B$68/$B$68)</f>
        <v>19.756243093922656</v>
      </c>
      <c r="S18" s="226">
        <f>IF($B$68=0,0,(SUMIF($N$6:$N$20,$U18,L$6:L$20)+SUMIF($N$78:$N$100,$U18,L$78:L$100))*$I$70*Poor!$B$68/$B$68)</f>
        <v>19.756243093922656</v>
      </c>
      <c r="T18" s="226">
        <f>IF($B$68=0,0,(SUMIF($N$6:$N$20,$U18,M$6:M$20)+SUMIF($N$78:$N$100,$U18,M$78:M$100))*$I$70*Poor!$B$68/$B$68)</f>
        <v>0</v>
      </c>
      <c r="U18" s="227">
        <v>12</v>
      </c>
      <c r="V18" s="56"/>
      <c r="W18" s="109"/>
      <c r="X18" s="117"/>
      <c r="Y18" s="184">
        <f t="shared" si="9"/>
        <v>0.3174603174603175</v>
      </c>
      <c r="Z18" s="115">
        <v>0.25</v>
      </c>
      <c r="AA18" s="120">
        <f t="shared" si="16"/>
        <v>7.9365079365079375E-2</v>
      </c>
      <c r="AB18" s="115">
        <v>0.25</v>
      </c>
      <c r="AC18" s="120">
        <f t="shared" si="7"/>
        <v>7.9365079365079375E-2</v>
      </c>
      <c r="AD18" s="115">
        <v>0.25</v>
      </c>
      <c r="AE18" s="120">
        <f t="shared" si="8"/>
        <v>7.9365079365079375E-2</v>
      </c>
      <c r="AF18" s="121">
        <f t="shared" si="10"/>
        <v>0.25</v>
      </c>
      <c r="AG18" s="120">
        <f t="shared" si="11"/>
        <v>7.9365079365079375E-2</v>
      </c>
      <c r="AH18" s="122">
        <f t="shared" si="12"/>
        <v>1</v>
      </c>
      <c r="AI18" s="184">
        <f t="shared" si="13"/>
        <v>7.9365079365079375E-2</v>
      </c>
      <c r="AJ18" s="119">
        <f t="shared" si="14"/>
        <v>7.9365079365079375E-2</v>
      </c>
      <c r="AK18" s="118">
        <f t="shared" si="15"/>
        <v>7.9365079365079375E-2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Purchase - other</v>
      </c>
      <c r="B19" s="216">
        <f>IF([1]Summ!E1057="",0,[1]Summ!E1057)</f>
        <v>0</v>
      </c>
      <c r="C19" s="216">
        <f>IF([1]Summ!F1057="",0,[1]Summ!F1057)</f>
        <v>0</v>
      </c>
      <c r="D19" s="24">
        <f>SUM(B19,C19)</f>
        <v>0</v>
      </c>
      <c r="E19" s="26">
        <v>1</v>
      </c>
      <c r="F19" s="22"/>
      <c r="H19" s="24">
        <f t="shared" si="1"/>
        <v>1</v>
      </c>
      <c r="I19" s="29">
        <f t="shared" si="2"/>
        <v>0</v>
      </c>
      <c r="J19" s="97">
        <f>IF(I$24&lt;=1+I113,I19,B19*H19+J$25*(I19-B19*H19))</f>
        <v>0</v>
      </c>
      <c r="K19" s="22">
        <f t="shared" si="4"/>
        <v>0</v>
      </c>
      <c r="L19" s="22">
        <f t="shared" si="5"/>
        <v>0</v>
      </c>
      <c r="M19" s="230">
        <f t="shared" si="6"/>
        <v>0</v>
      </c>
      <c r="N19" s="233"/>
      <c r="O19" s="2"/>
      <c r="P19" s="22"/>
      <c r="Q19" s="59" t="s">
        <v>81</v>
      </c>
      <c r="R19" s="226">
        <f>IF($B$68=0,0,(SUMIF($N$6:$N$20,$U19,K$6:K$20)+SUMIF($N$78:$N$100,$U19,K$78:K$100))*$I$70*Poor!$B$68/$B$68)</f>
        <v>0</v>
      </c>
      <c r="S19" s="226">
        <f>IF($B$68=0,0,(SUMIF($N$6:$N$20,$U19,L$6:L$20)+SUMIF($N$78:$N$100,$U19,L$78:L$100))*$I$70*Poor!$B$68/$B$68)</f>
        <v>0</v>
      </c>
      <c r="T19" s="226">
        <f>IF($B$68=0,0,(SUMIF($N$6:$N$20,$U19,M$6:M$20)+SUMIF($N$78:$N$100,$U19,M$78:M$100))*$I$70*Poor!$B$68/$B$68)</f>
        <v>0</v>
      </c>
      <c r="U19" s="227">
        <v>13</v>
      </c>
      <c r="V19" s="56"/>
      <c r="W19" s="109"/>
      <c r="X19" s="117"/>
      <c r="Y19" s="184">
        <f t="shared" si="9"/>
        <v>0</v>
      </c>
      <c r="Z19" s="115">
        <v>0.25</v>
      </c>
      <c r="AA19" s="120">
        <f t="shared" si="16"/>
        <v>0</v>
      </c>
      <c r="AB19" s="115">
        <v>0.25</v>
      </c>
      <c r="AC19" s="120">
        <f t="shared" si="7"/>
        <v>0</v>
      </c>
      <c r="AD19" s="115">
        <v>0.25</v>
      </c>
      <c r="AE19" s="120">
        <f t="shared" si="8"/>
        <v>0</v>
      </c>
      <c r="AF19" s="121">
        <f t="shared" si="10"/>
        <v>0.25</v>
      </c>
      <c r="AG19" s="120">
        <f t="shared" si="11"/>
        <v>0</v>
      </c>
      <c r="AH19" s="122">
        <f t="shared" si="12"/>
        <v>1</v>
      </c>
      <c r="AI19" s="184">
        <f t="shared" si="13"/>
        <v>0</v>
      </c>
      <c r="AJ19" s="119">
        <f t="shared" si="14"/>
        <v>0</v>
      </c>
      <c r="AK19" s="118">
        <f t="shared" si="15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Purchase - desirable</v>
      </c>
      <c r="B20" s="216">
        <f>IF([1]Summ!E1058="",0,[1]Summ!E1058)</f>
        <v>2.5809041095890412E-3</v>
      </c>
      <c r="C20" s="216">
        <f>IF([1]Summ!F1058="",0,[1]Summ!F1058)</f>
        <v>-2.5809041095890412E-3</v>
      </c>
      <c r="D20" s="24">
        <f>SUM(B20,C20)</f>
        <v>0</v>
      </c>
      <c r="E20" s="26">
        <v>1</v>
      </c>
      <c r="F20" s="22"/>
      <c r="H20" s="24">
        <f t="shared" si="1"/>
        <v>1</v>
      </c>
      <c r="I20" s="29">
        <f t="shared" si="2"/>
        <v>0</v>
      </c>
      <c r="J20" s="97">
        <f>IF(I$24&lt;=1+I113,I20,B20*H20+J$25*(I20-B20*H20))</f>
        <v>0</v>
      </c>
      <c r="K20" s="22">
        <f t="shared" si="4"/>
        <v>2.5809041095890412E-3</v>
      </c>
      <c r="L20" s="22">
        <f t="shared" si="5"/>
        <v>2.5809041095890412E-3</v>
      </c>
      <c r="M20" s="228">
        <f t="shared" si="6"/>
        <v>0</v>
      </c>
      <c r="N20" s="233">
        <v>12</v>
      </c>
      <c r="O20" s="2"/>
      <c r="P20" s="22"/>
      <c r="Q20" s="59" t="s">
        <v>82</v>
      </c>
      <c r="R20" s="226">
        <f>IF($B$68=0,0,(SUMIF($N$6:$N$20,$U20,K$6:K$20)+SUMIF($N$78:$N$100,$U20,K$78:K$100))*$I$70*Poor!$B$68/$B$68)</f>
        <v>20817.060156931126</v>
      </c>
      <c r="S20" s="226">
        <f>IF($B$68=0,0,(SUMIF($N$6:$N$20,$U20,L$6:L$20)+SUMIF($N$78:$N$100,$U20,L$78:L$100))*$I$70*Poor!$B$68/$B$68)</f>
        <v>20631.193548387098</v>
      </c>
      <c r="T20" s="226">
        <f>IF($B$68=0,0,(SUMIF($N$6:$N$20,$U20,M$6:M$20)+SUMIF($N$78:$N$100,$U20,M$78:M$100))*$I$70*Poor!$B$68/$B$68)</f>
        <v>20631.193548387098</v>
      </c>
      <c r="U20" s="227">
        <v>14</v>
      </c>
      <c r="V20" s="56"/>
      <c r="W20" s="109"/>
      <c r="X20" s="117"/>
      <c r="Y20" s="184">
        <f t="shared" si="9"/>
        <v>0</v>
      </c>
      <c r="Z20" s="115">
        <v>0</v>
      </c>
      <c r="AA20" s="120">
        <f t="shared" si="16"/>
        <v>0</v>
      </c>
      <c r="AB20" s="115">
        <v>0</v>
      </c>
      <c r="AC20" s="120">
        <f t="shared" si="7"/>
        <v>0</v>
      </c>
      <c r="AD20" s="115">
        <v>0.5</v>
      </c>
      <c r="AE20" s="120">
        <f t="shared" si="8"/>
        <v>0</v>
      </c>
      <c r="AF20" s="121">
        <f t="shared" si="10"/>
        <v>0.5</v>
      </c>
      <c r="AG20" s="120">
        <f t="shared" si="11"/>
        <v>0</v>
      </c>
      <c r="AH20" s="122">
        <f t="shared" si="12"/>
        <v>1</v>
      </c>
      <c r="AI20" s="184">
        <f t="shared" si="13"/>
        <v>0</v>
      </c>
      <c r="AJ20" s="119">
        <f t="shared" si="14"/>
        <v>0</v>
      </c>
      <c r="AK20" s="118">
        <f t="shared" si="15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Purchase - fpl non staple</v>
      </c>
      <c r="B21" s="216">
        <f>IF([1]Summ!E1059="",0,[1]Summ!E1059)</f>
        <v>0.11750460772104607</v>
      </c>
      <c r="C21" s="216">
        <f>IF([1]Summ!F1059="",0,[1]Summ!F1059)</f>
        <v>0.2942844882672655</v>
      </c>
      <c r="D21" s="24">
        <f>SUM(B21,C21)</f>
        <v>0.41178909598831159</v>
      </c>
      <c r="E21" s="26">
        <v>1</v>
      </c>
      <c r="F21" s="22"/>
      <c r="H21" s="24">
        <f t="shared" si="1"/>
        <v>1</v>
      </c>
      <c r="I21" s="29">
        <f t="shared" si="2"/>
        <v>0.41178909598831159</v>
      </c>
      <c r="J21" s="97">
        <f>IF(I$24&lt;=1+I113,I21,B21*H21+J$25*(I21-B21*H21))</f>
        <v>0.41178909598831159</v>
      </c>
      <c r="K21" s="22">
        <f t="shared" si="4"/>
        <v>0.11750460772104607</v>
      </c>
      <c r="L21" s="22">
        <f t="shared" si="5"/>
        <v>0.11750460772104607</v>
      </c>
      <c r="M21" s="228">
        <f t="shared" si="6"/>
        <v>0.41178909598831159</v>
      </c>
      <c r="N21" s="233"/>
      <c r="P21" s="22"/>
      <c r="Q21" s="59" t="s">
        <v>83</v>
      </c>
      <c r="R21" s="226">
        <f>IF($B$68=0,0,(SUMIF($N$6:$N$20,$U21,K$6:K$20)+SUMIF($N$78:$N$100,$U21,K$78:K$100))*$I$70*Poor!$B$68/$B$68)</f>
        <v>0</v>
      </c>
      <c r="S21" s="226">
        <f>IF($B$68=0,0,(SUMIF($N$6:$N$20,$U21,L$6:L$20)+SUMIF($N$78:$N$100,$U21,L$78:L$100))*$I$70*Poor!$B$68/$B$68)</f>
        <v>0</v>
      </c>
      <c r="T21" s="226">
        <f>IF($B$68=0,0,(SUMIF($N$6:$N$20,$U21,M$6:M$20)+SUMIF($N$78:$N$100,$U21,M$78:M$100))*$I$70*Poor!$B$68/$B$68)</f>
        <v>0</v>
      </c>
      <c r="U21" s="227">
        <v>15</v>
      </c>
      <c r="V21" s="56"/>
      <c r="W21" s="109"/>
      <c r="X21" s="117"/>
      <c r="Y21" s="184">
        <f t="shared" si="9"/>
        <v>1.6471563839532464</v>
      </c>
      <c r="Z21" s="115">
        <v>0.25</v>
      </c>
      <c r="AA21" s="120">
        <f t="shared" si="16"/>
        <v>0.41178909598831159</v>
      </c>
      <c r="AB21" s="115">
        <v>0.25</v>
      </c>
      <c r="AC21" s="120">
        <f t="shared" si="7"/>
        <v>0.41178909598831159</v>
      </c>
      <c r="AD21" s="115">
        <v>0.25</v>
      </c>
      <c r="AE21" s="120">
        <f t="shared" si="8"/>
        <v>0.41178909598831159</v>
      </c>
      <c r="AF21" s="121">
        <f t="shared" si="10"/>
        <v>0.25</v>
      </c>
      <c r="AG21" s="120">
        <f t="shared" si="11"/>
        <v>0.41178909598831159</v>
      </c>
      <c r="AH21" s="122">
        <f t="shared" si="12"/>
        <v>1</v>
      </c>
      <c r="AI21" s="184">
        <f t="shared" si="13"/>
        <v>0.41178909598831159</v>
      </c>
      <c r="AJ21" s="119">
        <f t="shared" si="14"/>
        <v>0.41178909598831159</v>
      </c>
      <c r="AK21" s="118">
        <f t="shared" si="15"/>
        <v>0.41178909598831159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 thickBot="1">
      <c r="A22" s="85" t="str">
        <f>IF([1]Summ!$A1060="","",[1]Summ!$A1060)</f>
        <v>Purchase - staple</v>
      </c>
      <c r="B22" s="216">
        <f>IF([1]Summ!E1060="",0,[1]Summ!E1060)</f>
        <v>0.70012455168119558</v>
      </c>
      <c r="C22" s="102"/>
      <c r="D22" s="24">
        <f>(D101-B106)</f>
        <v>4.4333832990789261</v>
      </c>
      <c r="E22" s="29">
        <v>1</v>
      </c>
      <c r="F22" s="96"/>
      <c r="G22" s="96"/>
      <c r="H22" s="97">
        <f>(E22*F$7/F$9)</f>
        <v>1</v>
      </c>
      <c r="I22" s="29">
        <f>IF(E22&gt;=1,I101-SUM(I106,I107),MIN(I101-SUM(I106,I107),B22*H22))</f>
        <v>2.4272002066405101</v>
      </c>
      <c r="J22" s="243">
        <f>IF(I$24&lt;=$B$24,I22,$B$24-SUM(J6:J21))</f>
        <v>0.36842096752351905</v>
      </c>
      <c r="K22" s="22">
        <f t="shared" si="4"/>
        <v>0.70012455168119558</v>
      </c>
      <c r="L22" s="22">
        <f>IF(L106=L101,0,IF(K22="",0,(L101-L106)/(B101-B106)*K22))</f>
        <v>0.65353041214121266</v>
      </c>
      <c r="M22" s="174">
        <f t="shared" si="6"/>
        <v>0.36842096752351905</v>
      </c>
      <c r="N22" s="165" t="s">
        <v>87</v>
      </c>
      <c r="O22" s="2"/>
      <c r="P22" s="22"/>
      <c r="Q22" s="59" t="s">
        <v>84</v>
      </c>
      <c r="R22" s="226">
        <f>IF($B$68=0,0,(SUMIF($N$6:$N$20,$U22,K$6:K$20)+SUMIF($N$78:$N$100,$U22,K$78:K$100))*$I$70*Poor!$B$68/$B$68)</f>
        <v>0</v>
      </c>
      <c r="S22" s="226">
        <f>IF($B$68=0,0,(SUMIF($N$6:$N$20,$U22,L$6:L$20)+SUMIF($N$78:$N$100,$U22,L$78:L$100))*$I$70*Poor!$B$68/$B$68)</f>
        <v>0</v>
      </c>
      <c r="T22" s="226">
        <f>IF($B$68=0,0,(SUMIF($N$6:$N$20,$U22,M$6:M$20)+SUMIF($N$78:$N$100,$U22,M$78:M$100))*$I$70*Poor!$B$68/$B$68)</f>
        <v>0</v>
      </c>
      <c r="U22" s="227">
        <v>16</v>
      </c>
      <c r="V22" s="56"/>
      <c r="W22" s="109"/>
      <c r="X22" s="117"/>
      <c r="Y22" s="184">
        <f>M22*4</f>
        <v>1.4736838700940762</v>
      </c>
      <c r="Z22" s="121">
        <f>IF($Y22=0,0,AA22/($Y$22))</f>
        <v>0</v>
      </c>
      <c r="AA22" s="188">
        <f>IF(AA66*4/$I$70+SUM(AA6:AA21)&lt;1,AA66*4/$I$70,1-SUM(AA6:AA21))</f>
        <v>0</v>
      </c>
      <c r="AB22" s="121">
        <f>IF($Y22=0,0,AC22/($Y$22))</f>
        <v>0</v>
      </c>
      <c r="AC22" s="188">
        <f>IF(AC66*4/$I$70+SUM(AC6:AC21)&lt;1,AC66*4/$I$70,1-SUM(AC6:AC21))</f>
        <v>0</v>
      </c>
      <c r="AD22" s="121">
        <f>IF($Y22=0,0,AE22/($Y$22))</f>
        <v>1.218136069366146E-2</v>
      </c>
      <c r="AE22" s="188">
        <f>IF(AE66*4/$I$70+SUM(AE6:AE21)&lt;1,AE66*4/$I$70,1-SUM(AE6:AE21))</f>
        <v>1.7951474770046882E-2</v>
      </c>
      <c r="AF22" s="121">
        <f>IF($Y22=0,0,AG22/($Y$22))</f>
        <v>0.26063766528992832</v>
      </c>
      <c r="AG22" s="188">
        <f>IF(AG66*4/$I$70+SUM(AG6:AG21)&lt;1,AG66*4/$I$70,1-SUM(AG6:AG21))</f>
        <v>0.38409752327674607</v>
      </c>
      <c r="AH22" s="122">
        <f t="shared" si="12"/>
        <v>0.27281902598358976</v>
      </c>
      <c r="AI22" s="184">
        <f t="shared" si="13"/>
        <v>0.10051224951169824</v>
      </c>
      <c r="AJ22" s="119">
        <f t="shared" si="14"/>
        <v>0</v>
      </c>
      <c r="AK22" s="118">
        <f t="shared" si="15"/>
        <v>0.20102449902339647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95" t="s">
        <v>58</v>
      </c>
      <c r="B23" s="101" t="str">
        <f>IF(1-$B$24&gt;0,1-$B$24,"")</f>
        <v/>
      </c>
      <c r="C23" s="29"/>
      <c r="D23" s="24"/>
      <c r="E23" s="22"/>
      <c r="F23" s="22"/>
      <c r="H23" s="24"/>
      <c r="I23" s="29"/>
      <c r="J23" s="244">
        <f>($B$24-SUM(J6:J22))</f>
        <v>0</v>
      </c>
      <c r="K23" s="22" t="str">
        <f t="shared" si="4"/>
        <v/>
      </c>
      <c r="L23" s="22">
        <f>(1-SUM(L6:L22))</f>
        <v>-0.221314578471838</v>
      </c>
      <c r="M23" s="177">
        <f t="shared" si="6"/>
        <v>0</v>
      </c>
      <c r="N23" s="166">
        <f>M23*I70</f>
        <v>0</v>
      </c>
      <c r="P23" s="22"/>
      <c r="Q23" s="170" t="s">
        <v>101</v>
      </c>
      <c r="R23" s="179">
        <f>SUM(R7:R22)</f>
        <v>51863.527447716639</v>
      </c>
      <c r="S23" s="179">
        <f>SUM(S7:S22)</f>
        <v>50040.628339172617</v>
      </c>
      <c r="T23" s="179">
        <f>SUM(T7:T22)</f>
        <v>52035.863140070149</v>
      </c>
      <c r="U23" s="242" t="s">
        <v>140</v>
      </c>
      <c r="V23" s="56"/>
      <c r="W23" s="128" t="s">
        <v>85</v>
      </c>
      <c r="X23" s="129"/>
      <c r="Y23" s="120">
        <f>M23*4</f>
        <v>0</v>
      </c>
      <c r="Z23" s="130"/>
      <c r="AA23" s="131">
        <f>1-AA24+IF($Y24&lt;0,$Y24/4,0)</f>
        <v>0</v>
      </c>
      <c r="AB23" s="130"/>
      <c r="AC23" s="132">
        <f>1-AC24+IF($Y24&lt;0,$Y24/4,0)</f>
        <v>0</v>
      </c>
      <c r="AD23" s="133"/>
      <c r="AE23" s="132">
        <f>1-AE24+IF($Y24&lt;0,$Y24/4,0)</f>
        <v>0</v>
      </c>
      <c r="AF23" s="133"/>
      <c r="AG23" s="132">
        <f>1-AG24+IF($Y24&lt;0,$Y24/4,0)</f>
        <v>0</v>
      </c>
      <c r="AH23" s="122"/>
      <c r="AI23" s="183">
        <f>SUM(AA23,AC23,AE23,AG23)/4</f>
        <v>0</v>
      </c>
      <c r="AJ23" s="134">
        <f t="shared" si="14"/>
        <v>0</v>
      </c>
      <c r="AK23" s="135">
        <f t="shared" si="15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>
      <c r="A24" s="29" t="s">
        <v>24</v>
      </c>
      <c r="B24" s="29">
        <f>SUM(B6:B22)</f>
        <v>1.2679087180118209</v>
      </c>
      <c r="C24" s="29">
        <f>SUM(C6:C23)</f>
        <v>0.34170358415767643</v>
      </c>
      <c r="D24" s="24">
        <f>SUM(D6:D22)</f>
        <v>5.3428710495672282</v>
      </c>
      <c r="E24" s="2"/>
      <c r="F24" s="2"/>
      <c r="H24" s="17"/>
      <c r="I24" s="22">
        <f>SUM(I6:I22)</f>
        <v>3.3266879571288119</v>
      </c>
      <c r="J24" s="17"/>
      <c r="L24" s="22">
        <f>SUM(L6:L22)</f>
        <v>1.221314578471838</v>
      </c>
      <c r="M24" s="23"/>
      <c r="N24" s="56"/>
      <c r="O24" s="2"/>
      <c r="P24" s="22"/>
      <c r="Q24" s="59" t="s">
        <v>136</v>
      </c>
      <c r="R24" s="41">
        <f>IF($B$68=0,0,($B$106*$H$106)+1-($D$21*$H$21)-($D$20*$H$20))*$I$70*Poor!$B$68/$B$68</f>
        <v>21863.869686861162</v>
      </c>
      <c r="S24" s="41">
        <f>IF($B$68=0,0,($B$106*($H$106)+1-($D$21*$H$21)-($D$20*$H$20))*$I$70*Poor!$B$68/$B$68)</f>
        <v>21863.869686861162</v>
      </c>
      <c r="T24" s="41">
        <f>IF($B$68=0,0,($B$106*($H$106)+1-($D$21*$H$21)-($D$20*$H$20))*$I$70*Poor!$B$68/$B$68)</f>
        <v>21863.869686861162</v>
      </c>
      <c r="U24" s="240">
        <f>T24/Poor!$B$68/12</f>
        <v>303.66485676196061</v>
      </c>
      <c r="V24" s="56"/>
      <c r="W24" s="109"/>
      <c r="X24" s="117"/>
      <c r="Y24" s="114">
        <f>SUM(Y6:Y23)</f>
        <v>5.0716348720472837</v>
      </c>
      <c r="Z24" s="136"/>
      <c r="AA24" s="137">
        <f>SUM(AA6:AA22)</f>
        <v>1</v>
      </c>
      <c r="AB24" s="136"/>
      <c r="AC24" s="138">
        <f>SUM(AC6:AC22)</f>
        <v>1</v>
      </c>
      <c r="AD24" s="136"/>
      <c r="AE24" s="138">
        <f>SUM(AE6:AE22)</f>
        <v>1</v>
      </c>
      <c r="AF24" s="136"/>
      <c r="AG24" s="138">
        <f>SUM(AG6:AG22)</f>
        <v>1</v>
      </c>
      <c r="AH24" s="126"/>
      <c r="AI24" s="109"/>
      <c r="AJ24" s="139">
        <f>SUM(AJ6:AJ23)</f>
        <v>1</v>
      </c>
      <c r="AK24" s="140">
        <f>SUM(AK6:AK23)</f>
        <v>1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</row>
    <row r="25" spans="1:89" ht="14" customHeight="1" thickBot="1">
      <c r="A25" s="9"/>
      <c r="B25" s="9"/>
      <c r="C25" s="9"/>
      <c r="D25" s="10"/>
      <c r="E25" s="11"/>
      <c r="F25" s="11"/>
      <c r="G25" s="11"/>
      <c r="H25" s="10"/>
      <c r="I25" s="235" t="s">
        <v>25</v>
      </c>
      <c r="J25" s="236">
        <f>(1+K107*H107-L24-L107)/(I24-L24-L107)</f>
        <v>-0.53833988979837022</v>
      </c>
      <c r="K25" s="14"/>
      <c r="L25" s="11"/>
      <c r="M25" s="30"/>
      <c r="N25" s="167" t="s">
        <v>88</v>
      </c>
      <c r="O25" s="2"/>
      <c r="P25" s="2"/>
      <c r="Q25" s="141" t="s">
        <v>137</v>
      </c>
      <c r="R25" s="41">
        <f>IF($B$68=0,0,($B$57+$B$58+((1-$D$21)*$B$70))*$H$71*Poor!$B$68/$B$68)</f>
        <v>35134.825989516001</v>
      </c>
      <c r="S25" s="41">
        <f>IF($B$68=0,0,(($B$57*$H$57)+($B$58*$H$58)+((1-($D$21*$H$21))*$I$70))*Poor!$B$68/$B$68)</f>
        <v>34833.109686861164</v>
      </c>
      <c r="T25" s="41">
        <f>IF($B$68=0,0,(($B$57*$H$57)+($B$58*$H$58)+((1-($D$21*$H$21))*$I$70))*Poor!$B$68/$B$68)</f>
        <v>34833.109686861164</v>
      </c>
      <c r="U25" s="240">
        <f>T25/Poor!$B$68/12</f>
        <v>483.79319009529394</v>
      </c>
      <c r="V25" s="56"/>
      <c r="W25" s="109"/>
      <c r="X25" s="117"/>
      <c r="Y25" s="109"/>
      <c r="Z25" s="142"/>
      <c r="AA25" s="143"/>
      <c r="AB25" s="142"/>
      <c r="AC25" s="143"/>
      <c r="AD25" s="142"/>
      <c r="AE25" s="143"/>
      <c r="AF25" s="142"/>
      <c r="AG25" s="143"/>
      <c r="AH25" s="109"/>
      <c r="AI25" s="109"/>
      <c r="AJ25" s="142"/>
      <c r="AK25" s="143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</row>
    <row r="26" spans="1:89" ht="15.75" customHeight="1" thickBot="1">
      <c r="A26" s="15" t="s">
        <v>26</v>
      </c>
      <c r="B26" s="1"/>
      <c r="C26" s="1"/>
      <c r="D26" s="31"/>
      <c r="E26" s="32"/>
      <c r="F26" s="32"/>
      <c r="G26" s="32"/>
      <c r="H26" s="31"/>
      <c r="I26" s="2"/>
      <c r="J26" s="33"/>
      <c r="K26" s="34" t="s">
        <v>27</v>
      </c>
      <c r="L26" s="35"/>
      <c r="M26" s="36"/>
      <c r="N26" s="168">
        <f>-(M64*B63)</f>
        <v>10167.885885670867</v>
      </c>
      <c r="O26" s="2"/>
      <c r="P26" s="2"/>
      <c r="Q26" s="59" t="s">
        <v>138</v>
      </c>
      <c r="R26" s="41">
        <f>IF($B$68=0,0,($B$57+$B$58+$B$59+((1-$D$21)*$B$70))*$H$71*Poor!$B$68/$B$68)</f>
        <v>58769.031633614068</v>
      </c>
      <c r="S26" s="41">
        <f>IF($B$68=0,0,(($B$57*$H$57)+($B$58*$H$58)+($B$59*$H$59)+((1-($D$21*$H$21))*$I$70))*Poor!$B$68/$B$68)</f>
        <v>57929.989686861169</v>
      </c>
      <c r="T26" s="41">
        <f>IF($B$68=0,0,(($B$57*$H$57)+($B$58*$H$58)+($B$59*$H$59)+((1-($D$21*$H$21))*$I$70))*Poor!$B$68/$B$68)</f>
        <v>57929.989686861169</v>
      </c>
      <c r="U26" s="240">
        <f>T26/Poor!$B$68/12</f>
        <v>804.58319009529396</v>
      </c>
      <c r="V26" s="56"/>
      <c r="W26" s="109"/>
      <c r="X26" s="117"/>
      <c r="Y26" s="109"/>
      <c r="Z26" s="144"/>
      <c r="AA26" s="145"/>
      <c r="AB26" s="144"/>
      <c r="AC26" s="145"/>
      <c r="AD26" s="144"/>
      <c r="AE26" s="145"/>
      <c r="AF26" s="144"/>
      <c r="AG26" s="145"/>
      <c r="AH26" s="109"/>
      <c r="AI26" s="109"/>
      <c r="AJ26" s="144"/>
      <c r="AK26" s="145"/>
      <c r="AP26" s="25"/>
      <c r="AQ26" s="25"/>
      <c r="AR26" s="25"/>
      <c r="AS26" s="25"/>
      <c r="AT26" s="25"/>
      <c r="AU26" s="25"/>
      <c r="AW26" s="25"/>
      <c r="AX26" s="25"/>
      <c r="AY26" s="25"/>
      <c r="AZ26" s="25"/>
      <c r="BA26" s="25"/>
      <c r="BB26" s="25"/>
      <c r="BF26" s="25"/>
      <c r="BG26" s="25"/>
      <c r="BH26" s="25"/>
      <c r="BI26" s="25"/>
      <c r="BJ26" s="25"/>
      <c r="BK26" s="25"/>
      <c r="BM26" s="25"/>
      <c r="BN26" s="25"/>
      <c r="BO26" s="25"/>
      <c r="BP26" s="25"/>
      <c r="BQ26" s="25"/>
      <c r="BR26" s="25"/>
      <c r="BU26" s="25"/>
      <c r="BV26" s="25"/>
      <c r="BW26" s="25"/>
      <c r="BX26" s="25"/>
      <c r="BY26" s="25"/>
      <c r="BZ26" s="25"/>
      <c r="CB26" s="25"/>
      <c r="CC26" s="25"/>
      <c r="CD26" s="25"/>
      <c r="CE26" s="25"/>
      <c r="CF26" s="25"/>
      <c r="CG26" s="25"/>
    </row>
    <row r="27" spans="1:89" ht="14" customHeight="1">
      <c r="A27" s="1"/>
      <c r="B27" s="1" t="s">
        <v>7</v>
      </c>
      <c r="C27" s="1" t="s">
        <v>8</v>
      </c>
      <c r="D27" s="16" t="s">
        <v>9</v>
      </c>
      <c r="E27" s="19" t="s">
        <v>10</v>
      </c>
      <c r="F27" s="2" t="s">
        <v>28</v>
      </c>
      <c r="G27" s="2" t="s">
        <v>29</v>
      </c>
      <c r="H27" s="16" t="s">
        <v>12</v>
      </c>
      <c r="I27" s="19" t="s">
        <v>13</v>
      </c>
      <c r="J27" s="16" t="s">
        <v>14</v>
      </c>
      <c r="K27" s="37" t="s">
        <v>7</v>
      </c>
      <c r="L27" s="19" t="s">
        <v>15</v>
      </c>
      <c r="M27" s="16" t="s">
        <v>14</v>
      </c>
      <c r="N27" s="2"/>
      <c r="O27" s="2"/>
      <c r="P27" s="2"/>
      <c r="Q27" s="125" t="s">
        <v>139</v>
      </c>
      <c r="R27" s="41">
        <f>IF($B$68=0,0,($B$57+$B$58+$B$59+$B$60+(1-$D$21-$D$20)*$B$70)*$H$71*Poor!$B$68/$B$68)</f>
        <v>61665.380364508448</v>
      </c>
      <c r="S27" s="41">
        <f>IF($B$68=0,0,(($B$57*$H$57)+($B$58*$H$58)+($B$59*$H$59)+($B$60*$H$60)+((1-($D$20*$H$20)-($D$21*$H$21))*$I$70))*Poor!$B$68/$B$68)</f>
        <v>60760.489686861169</v>
      </c>
      <c r="T27" s="41">
        <f>IF($B$68=0,0,(($B$57*$H$57)+($B$58*$H$58)+($B$59*$H$59)+($B$60*$H$60)+((1-($D$20*$H$20)-($D$21*$H$21))*$I$70))*Poor!$B$68/$B$68)</f>
        <v>60760.489686861169</v>
      </c>
      <c r="U27" s="241">
        <f>T27/Poor!$B$68/12</f>
        <v>843.89569009529396</v>
      </c>
      <c r="V27" s="185"/>
      <c r="W27" s="109"/>
      <c r="X27" s="117"/>
      <c r="Y27" s="109"/>
      <c r="Z27" s="144"/>
      <c r="AA27" s="145"/>
      <c r="AB27" s="144"/>
      <c r="AC27" s="145"/>
      <c r="AD27" s="144"/>
      <c r="AE27" s="145"/>
      <c r="AF27" s="144"/>
      <c r="AG27" s="145"/>
      <c r="AH27" s="109"/>
      <c r="AI27" s="109"/>
      <c r="AJ27" s="144"/>
      <c r="AK27" s="145"/>
      <c r="AP27" s="25"/>
      <c r="AQ27" s="25"/>
      <c r="AR27" s="25"/>
      <c r="AS27" s="25"/>
      <c r="AT27" s="25"/>
      <c r="AU27" s="25"/>
      <c r="AW27" s="25"/>
      <c r="AX27" s="25"/>
      <c r="AY27" s="25"/>
      <c r="AZ27" s="25"/>
      <c r="BA27" s="25"/>
      <c r="BB27" s="25"/>
      <c r="BF27" s="25"/>
      <c r="BG27" s="25"/>
      <c r="BH27" s="25"/>
      <c r="BI27" s="25"/>
      <c r="BJ27" s="25"/>
      <c r="BK27" s="25"/>
      <c r="BM27" s="25"/>
      <c r="BN27" s="25"/>
      <c r="BO27" s="25"/>
      <c r="BP27" s="25"/>
      <c r="BQ27" s="25"/>
      <c r="BR27" s="25"/>
      <c r="BU27" s="25"/>
      <c r="BV27" s="25"/>
      <c r="BW27" s="25"/>
      <c r="BX27" s="25"/>
      <c r="BY27" s="25"/>
      <c r="BZ27" s="25"/>
      <c r="CB27" s="25"/>
      <c r="CC27" s="25"/>
      <c r="CD27" s="25"/>
      <c r="CE27" s="25"/>
      <c r="CF27" s="25"/>
      <c r="CG27" s="25"/>
    </row>
    <row r="28" spans="1:89" ht="14" customHeight="1">
      <c r="A28" s="1" t="s">
        <v>30</v>
      </c>
      <c r="B28" s="1" t="s">
        <v>16</v>
      </c>
      <c r="C28" s="1" t="s">
        <v>17</v>
      </c>
      <c r="D28" s="16" t="s">
        <v>16</v>
      </c>
      <c r="E28" s="19" t="s">
        <v>18</v>
      </c>
      <c r="F28" s="2" t="s">
        <v>31</v>
      </c>
      <c r="G28" s="2" t="s">
        <v>31</v>
      </c>
      <c r="H28" s="16" t="s">
        <v>18</v>
      </c>
      <c r="I28" s="19" t="s">
        <v>16</v>
      </c>
      <c r="J28" s="16" t="s">
        <v>16</v>
      </c>
      <c r="K28" s="37" t="s">
        <v>16</v>
      </c>
      <c r="L28" s="19" t="s">
        <v>19</v>
      </c>
      <c r="M28" s="16" t="s">
        <v>16</v>
      </c>
      <c r="N28" s="2"/>
      <c r="O28" s="2"/>
      <c r="P28" s="2"/>
      <c r="U28" s="56"/>
      <c r="V28" s="56"/>
      <c r="W28" s="109"/>
      <c r="X28" s="117"/>
      <c r="Y28" s="109"/>
      <c r="Z28" s="144"/>
      <c r="AA28" s="145"/>
      <c r="AB28" s="144"/>
      <c r="AC28" s="145"/>
      <c r="AD28" s="144"/>
      <c r="AE28" s="145"/>
      <c r="AF28" s="144"/>
      <c r="AG28" s="145"/>
      <c r="AH28" s="109"/>
      <c r="AI28" s="109"/>
      <c r="AJ28" s="144"/>
      <c r="AK28" s="145"/>
      <c r="AP28" s="25"/>
      <c r="AQ28" s="25"/>
      <c r="AR28" s="25"/>
      <c r="AS28" s="25"/>
      <c r="AT28" s="25"/>
      <c r="AU28" s="25"/>
      <c r="AW28" s="25"/>
      <c r="AX28" s="25"/>
      <c r="AY28" s="25"/>
      <c r="AZ28" s="25"/>
      <c r="BA28" s="25"/>
      <c r="BB28" s="25"/>
      <c r="BF28" s="25"/>
      <c r="BG28" s="25"/>
      <c r="BH28" s="25"/>
      <c r="BI28" s="25"/>
      <c r="BJ28" s="25"/>
      <c r="BK28" s="25"/>
      <c r="BM28" s="25"/>
      <c r="BN28" s="25"/>
      <c r="BO28" s="25"/>
      <c r="BP28" s="25"/>
      <c r="BQ28" s="25"/>
      <c r="BR28" s="25"/>
      <c r="BU28" s="25"/>
      <c r="BV28" s="25"/>
      <c r="BW28" s="25"/>
      <c r="BX28" s="25"/>
      <c r="BY28" s="25"/>
      <c r="BZ28" s="25"/>
      <c r="CB28" s="25"/>
      <c r="CC28" s="25"/>
      <c r="CD28" s="25"/>
      <c r="CE28" s="25"/>
      <c r="CF28" s="25"/>
      <c r="CG28" s="25"/>
    </row>
    <row r="29" spans="1:89" ht="14" customHeight="1">
      <c r="A29" s="85" t="str">
        <f>IF([1]Summ!$A1064="","",[1]Summ!$A1064)</f>
        <v>Cattle sales - local: no. sold</v>
      </c>
      <c r="B29" s="217">
        <f>IF([1]Summ!E1064="",0,[1]Summ!E1064)</f>
        <v>3000</v>
      </c>
      <c r="C29" s="217">
        <f>IF([1]Summ!F1064="",0,[1]Summ!F1064)</f>
        <v>0</v>
      </c>
      <c r="D29" s="38">
        <f>SUM(B29,C29)</f>
        <v>3000</v>
      </c>
      <c r="E29" s="26">
        <v>1</v>
      </c>
      <c r="F29" s="26">
        <v>1.1100000000000001</v>
      </c>
      <c r="G29" s="29">
        <f>IF($B$69=0,0,$AH$69/$B$69)</f>
        <v>1.1200000000000001</v>
      </c>
      <c r="H29" s="24">
        <f t="shared" ref="H29:H51" si="17">(E29*F29)</f>
        <v>1.1100000000000001</v>
      </c>
      <c r="I29" s="39">
        <f t="shared" ref="I29:I51" si="18">D29*H29</f>
        <v>3330.0000000000005</v>
      </c>
      <c r="J29" s="38">
        <f t="shared" ref="J29:J51" si="19">J78*I$70</f>
        <v>3330.0000000000009</v>
      </c>
      <c r="K29" s="40">
        <f t="shared" ref="K29:K51" si="20">(B29/B$52)</f>
        <v>6.8537495298130649E-2</v>
      </c>
      <c r="L29" s="22">
        <f t="shared" ref="L29:L51" si="21">(K29*H29)</f>
        <v>7.6076619780925031E-2</v>
      </c>
      <c r="M29" s="24">
        <f t="shared" ref="M29:M51" si="22">J29/B$52</f>
        <v>7.6076619780925031E-2</v>
      </c>
      <c r="N29" s="2"/>
      <c r="O29" s="2"/>
      <c r="Q29" s="178"/>
      <c r="R29" s="180"/>
      <c r="S29" s="180"/>
      <c r="T29" s="180"/>
      <c r="U29" s="56"/>
      <c r="V29" s="56"/>
      <c r="W29" s="114"/>
      <c r="X29" s="117"/>
      <c r="Y29" s="109"/>
      <c r="Z29" s="121">
        <f>IF($J29=0,0,AA29/($J29))</f>
        <v>0</v>
      </c>
      <c r="AA29" s="146">
        <f>IF(SUM(AA$6:AA$21)+(SUM(AA$31:AA$51,-AA$57)/AA$70)&lt;1,IF(SUM(AA$6:AA$21)+(SUM(AA$31:AA$51,$J$29:$J$30,-AA$57)/AA$70)&lt;1,$J29,(AA$70-(SUM(AA$6:AA$21)*AA$70)-SUM(AA$31:AA$51,-AA$57))*($J29/SUM($J$29:$J$30))),0)</f>
        <v>0</v>
      </c>
      <c r="AB29" s="121">
        <f>IF($J29=0,0,AC29/($J29))</f>
        <v>0</v>
      </c>
      <c r="AC29" s="146">
        <f>IF(SUM(AC$6:AC$21)+(SUM(AC$31:AC$51,-AC$57)/AC$70)&lt;1,IF(SUM(AC$6:AC$21)+((SUM(AC$31:AC$51,$J$29:$J$30,-AC$57)-SUM($AA$29:$AA$30))/AC$70)&lt;1,$J29-$AA29,(AC$70-(SUM(AC$6:AC$21)*AC$70)-SUM(AC$31:AC$51,-AC$57))*($J29/SUM($J$29:$J$30))),0)</f>
        <v>0</v>
      </c>
      <c r="AD29" s="121">
        <f>IF($J29=0,0,AE29/($J29))</f>
        <v>0</v>
      </c>
      <c r="AE29" s="146">
        <f>IF(SUM(AE$6:AE$21)+(SUM(AE$31:AE$51,-AE$57)/AE$70)&lt;1,IF(SUM(AE$6:AE$21)+((SUM(AE$31:AE$51,$J$29:$J$30,-AE$57)-SUM($AA$29:$AA$30)-SUM($AC$29:$AC$30))/AE$70)&lt;1,$J29-$AA29-$AC29,(AE$70-(SUM(AE$6:AE$21)*AE$70)-SUM(AE$31:AE$51,-AE$57))*($J29/SUM($J$29:$J$30))),0)</f>
        <v>0</v>
      </c>
      <c r="AF29" s="121">
        <f t="shared" ref="AF29:AF51" si="23">1-SUM(Z29,AB29,AD29)</f>
        <v>1</v>
      </c>
      <c r="AG29" s="146">
        <f>$J29*AF29</f>
        <v>3330.0000000000009</v>
      </c>
      <c r="AH29" s="122">
        <f>SUM(Z29,AB29,AD29,AF29)</f>
        <v>1</v>
      </c>
      <c r="AI29" s="111">
        <f>SUM(AA29,AC29,AE29,AG29)</f>
        <v>3330.0000000000009</v>
      </c>
      <c r="AJ29" s="147">
        <f>(AA29+AC29)</f>
        <v>0</v>
      </c>
      <c r="AK29" s="146">
        <f>(AE29+AG29)</f>
        <v>3330.0000000000009</v>
      </c>
      <c r="AP29" s="25"/>
      <c r="AQ29" s="25"/>
      <c r="AR29" s="25"/>
      <c r="AS29" s="25"/>
      <c r="AT29" s="25"/>
      <c r="AU29" s="25"/>
      <c r="AW29" s="25"/>
      <c r="AX29" s="25"/>
      <c r="AY29" s="25"/>
      <c r="AZ29" s="25"/>
      <c r="BA29" s="25"/>
      <c r="BB29" s="25"/>
      <c r="BF29" s="25"/>
      <c r="BG29" s="25"/>
      <c r="BH29" s="25"/>
      <c r="BI29" s="25"/>
      <c r="BJ29" s="25"/>
      <c r="BK29" s="25"/>
      <c r="BM29" s="25"/>
      <c r="BN29" s="25"/>
      <c r="BO29" s="25"/>
      <c r="BP29" s="25"/>
      <c r="BQ29" s="25"/>
      <c r="BR29" s="25"/>
      <c r="BU29" s="25"/>
      <c r="BV29" s="25"/>
      <c r="BW29" s="25"/>
      <c r="BX29" s="25"/>
      <c r="BY29" s="25"/>
      <c r="BZ29" s="25"/>
      <c r="CB29" s="25"/>
      <c r="CC29" s="25"/>
      <c r="CD29" s="25"/>
      <c r="CE29" s="25"/>
      <c r="CF29" s="25"/>
      <c r="CG29" s="25"/>
    </row>
    <row r="30" spans="1:89" ht="14" customHeight="1">
      <c r="A30" s="85" t="str">
        <f>IF([1]Summ!$A1065="","",[1]Summ!$A1065)</f>
        <v>Goat sales - local: no. sold</v>
      </c>
      <c r="B30" s="217">
        <f>IF([1]Summ!E1065="",0,[1]Summ!E1065)</f>
        <v>630</v>
      </c>
      <c r="C30" s="217">
        <f>IF([1]Summ!F1065="",0,[1]Summ!F1065)</f>
        <v>0</v>
      </c>
      <c r="D30" s="38">
        <f t="shared" ref="D30:D51" si="24">SUM(B30,C30)</f>
        <v>630</v>
      </c>
      <c r="E30" s="26">
        <v>1</v>
      </c>
      <c r="F30" s="26">
        <v>1.0900000000000001</v>
      </c>
      <c r="G30" s="22">
        <f t="shared" ref="G30:G51" si="25">(G$29)</f>
        <v>1.1200000000000001</v>
      </c>
      <c r="H30" s="24">
        <f t="shared" si="17"/>
        <v>1.0900000000000001</v>
      </c>
      <c r="I30" s="39">
        <f t="shared" si="18"/>
        <v>686.7</v>
      </c>
      <c r="J30" s="38">
        <f t="shared" si="19"/>
        <v>686.7</v>
      </c>
      <c r="K30" s="40">
        <f t="shared" si="20"/>
        <v>1.4392874012607436E-2</v>
      </c>
      <c r="L30" s="22">
        <f t="shared" si="21"/>
        <v>1.5688232673742107E-2</v>
      </c>
      <c r="M30" s="24">
        <f t="shared" si="22"/>
        <v>1.5688232673742107E-2</v>
      </c>
      <c r="N30" s="2"/>
      <c r="O30" s="2"/>
      <c r="P30" s="2"/>
      <c r="Q30" s="59"/>
      <c r="R30" s="180"/>
      <c r="S30" s="180"/>
      <c r="T30" s="180"/>
      <c r="U30" s="56"/>
      <c r="V30" s="56"/>
      <c r="W30" s="114"/>
      <c r="X30" s="117"/>
      <c r="Y30" s="109"/>
      <c r="Z30" s="121">
        <f>IF($J30=0,0,AA30/($J30))</f>
        <v>0</v>
      </c>
      <c r="AA30" s="146">
        <f>IF(SUM(AA$6:AA$21)+(SUM(AA$31:AA$51,-AA$57)/AA$70)&lt;1,IF(SUM(AA$6:AA$21)+(SUM(AA$31:AA$51,$J$29:$J$30,-AA$57)/AA$70)&lt;1,$J30,(AA$70-(SUM(AA$6:AA$21)*AA$70)-SUM(AA$31:AA$51,-AA$57))*($J30/SUM($J$29:$J$30))),0)</f>
        <v>0</v>
      </c>
      <c r="AB30" s="121">
        <f>IF($J30=0,0,AC30/($J30))</f>
        <v>0</v>
      </c>
      <c r="AC30" s="146">
        <f>IF(SUM(AC$6:AC$21)+(SUM(AC$32:AC$51,-AC$57)/AC$70)&lt;1,IF(SUM(AC$6:AC$21)+((SUM(AC$32:AC$51,$J$29:$J$33,-AC$57)-SUM($AA$29:$AA$31))/AC$70)&lt;1,$J30-$AA30,(AC$70-(SUM(AC$6:AC$21)*AC$70)-SUM(AC$32:AC$51,-AC$57))*($J30/SUM($J$29:$J$33))),0)</f>
        <v>0</v>
      </c>
      <c r="AD30" s="121">
        <f>IF($J30=0,0,AE30/($J30))</f>
        <v>0</v>
      </c>
      <c r="AE30" s="146">
        <f>IF(SUM(AE$6:AE$21)+(SUM(AE$32:AE$51,-AE$57)/AE$70)&lt;1,IF(SUM(AE$6:AE$21)+((SUM(AE$32:AE$51,$J$29:$J$33,-AE$57)-SUM($AA$29:$AA$31)-SUM($AC$29:$AC$31))/AE$70)&lt;1,$J30-$AA30-$AC30,(AE$70-(SUM(AE$6:AE$21)*AE$70)-SUM(AE$32:AE$51,-AE$57))*($J30/SUM($J$29:$J$33))),0)</f>
        <v>0</v>
      </c>
      <c r="AF30" s="121">
        <f t="shared" si="23"/>
        <v>1</v>
      </c>
      <c r="AG30" s="146">
        <f t="shared" ref="AG30:AG51" si="26">$J30*AF30</f>
        <v>686.7</v>
      </c>
      <c r="AH30" s="122">
        <f t="shared" ref="AH30:AI45" si="27">SUM(Z30,AB30,AD30,AF30)</f>
        <v>1</v>
      </c>
      <c r="AI30" s="111">
        <f t="shared" si="27"/>
        <v>686.7</v>
      </c>
      <c r="AJ30" s="147">
        <f t="shared" ref="AJ30:AJ51" si="28">(AA30+AC30)</f>
        <v>0</v>
      </c>
      <c r="AK30" s="146">
        <f t="shared" ref="AK30:AK51" si="29">(AE30+AG30)</f>
        <v>686.7</v>
      </c>
      <c r="AP30" s="25"/>
      <c r="AQ30" s="25"/>
      <c r="AR30" s="25"/>
      <c r="AS30" s="25"/>
      <c r="AT30" s="25"/>
      <c r="AU30" s="25"/>
      <c r="AW30" s="25"/>
      <c r="AX30" s="25"/>
      <c r="AY30" s="25"/>
      <c r="AZ30" s="25"/>
      <c r="BA30" s="25"/>
      <c r="BB30" s="25"/>
      <c r="BF30" s="25"/>
      <c r="BG30" s="25"/>
      <c r="BH30" s="25"/>
      <c r="BI30" s="25"/>
      <c r="BJ30" s="25"/>
      <c r="BK30" s="25"/>
      <c r="BM30" s="25"/>
      <c r="BN30" s="25"/>
      <c r="BO30" s="25"/>
      <c r="BP30" s="25"/>
      <c r="BQ30" s="25"/>
      <c r="BR30" s="25"/>
      <c r="BU30" s="25"/>
      <c r="BV30" s="25"/>
      <c r="BW30" s="25"/>
      <c r="BX30" s="25"/>
      <c r="BY30" s="25"/>
      <c r="BZ30" s="25"/>
      <c r="CB30" s="25"/>
      <c r="CC30" s="25"/>
      <c r="CD30" s="25"/>
      <c r="CE30" s="25"/>
      <c r="CF30" s="25"/>
      <c r="CG30" s="25"/>
    </row>
    <row r="31" spans="1:89" ht="14" customHeight="1">
      <c r="A31" s="85" t="str">
        <f>IF([1]Summ!$A1066="","",[1]Summ!$A1066)</f>
        <v>Sheep sales - local: no. sold</v>
      </c>
      <c r="B31" s="217">
        <f>IF([1]Summ!E1066="",0,[1]Summ!E1066)</f>
        <v>0</v>
      </c>
      <c r="C31" s="217">
        <f>IF([1]Summ!F1066="",0,[1]Summ!F1066)</f>
        <v>0</v>
      </c>
      <c r="D31" s="38">
        <f t="shared" si="24"/>
        <v>0</v>
      </c>
      <c r="E31" s="26">
        <v>1</v>
      </c>
      <c r="F31" s="26">
        <v>1.0900000000000001</v>
      </c>
      <c r="G31" s="22">
        <f t="shared" si="25"/>
        <v>1.1200000000000001</v>
      </c>
      <c r="H31" s="24">
        <f t="shared" si="17"/>
        <v>1.0900000000000001</v>
      </c>
      <c r="I31" s="39">
        <f t="shared" si="18"/>
        <v>0</v>
      </c>
      <c r="J31" s="38">
        <f t="shared" si="19"/>
        <v>0</v>
      </c>
      <c r="K31" s="40">
        <f t="shared" si="20"/>
        <v>0</v>
      </c>
      <c r="L31" s="22">
        <f t="shared" si="21"/>
        <v>0</v>
      </c>
      <c r="M31" s="24">
        <f t="shared" si="22"/>
        <v>0</v>
      </c>
      <c r="N31" s="2"/>
      <c r="O31" s="2"/>
      <c r="P31" s="2"/>
      <c r="Q31" s="2"/>
      <c r="R31" s="180"/>
      <c r="S31" s="180"/>
      <c r="T31" s="180"/>
      <c r="U31" s="56"/>
      <c r="V31" s="56"/>
      <c r="W31" s="114"/>
      <c r="X31" s="117">
        <v>1</v>
      </c>
      <c r="Y31" s="109"/>
      <c r="Z31" s="121">
        <f>Z8</f>
        <v>0.43931480225856462</v>
      </c>
      <c r="AA31" s="146">
        <f t="shared" ref="AA31:AA51" si="30">$J31*Z31</f>
        <v>0</v>
      </c>
      <c r="AB31" s="121">
        <f>AB8</f>
        <v>0.31239573600981507</v>
      </c>
      <c r="AC31" s="146">
        <f t="shared" ref="AC31:AC51" si="31">$J31*AB31</f>
        <v>0</v>
      </c>
      <c r="AD31" s="121">
        <f>AD8</f>
        <v>0.24828946173162025</v>
      </c>
      <c r="AE31" s="146">
        <f t="shared" ref="AE31:AE51" si="32">$J31*AD31</f>
        <v>0</v>
      </c>
      <c r="AF31" s="121">
        <f t="shared" si="23"/>
        <v>0</v>
      </c>
      <c r="AG31" s="146">
        <f t="shared" si="26"/>
        <v>0</v>
      </c>
      <c r="AH31" s="122">
        <f t="shared" si="27"/>
        <v>1</v>
      </c>
      <c r="AI31" s="111">
        <f t="shared" si="27"/>
        <v>0</v>
      </c>
      <c r="AJ31" s="147">
        <f t="shared" si="28"/>
        <v>0</v>
      </c>
      <c r="AK31" s="146">
        <f t="shared" si="29"/>
        <v>0</v>
      </c>
      <c r="AP31" s="25"/>
      <c r="AQ31" s="25"/>
      <c r="AR31" s="25"/>
      <c r="AS31" s="25"/>
      <c r="AT31" s="25"/>
      <c r="AU31" s="25"/>
      <c r="AW31" s="25"/>
      <c r="AX31" s="25"/>
      <c r="AY31" s="25"/>
      <c r="AZ31" s="25"/>
      <c r="BA31" s="25"/>
      <c r="BB31" s="25"/>
      <c r="BF31" s="25"/>
      <c r="BG31" s="25"/>
      <c r="BH31" s="25"/>
      <c r="BI31" s="25"/>
      <c r="BJ31" s="25"/>
      <c r="BK31" s="25"/>
      <c r="BM31" s="25"/>
      <c r="BN31" s="25"/>
      <c r="BO31" s="25"/>
      <c r="BP31" s="25"/>
      <c r="BQ31" s="25"/>
      <c r="BR31" s="25"/>
      <c r="BU31" s="25"/>
      <c r="BV31" s="25"/>
      <c r="BW31" s="25"/>
      <c r="BX31" s="25"/>
      <c r="BY31" s="25"/>
      <c r="BZ31" s="25"/>
      <c r="CB31" s="25"/>
      <c r="CC31" s="25"/>
      <c r="CD31" s="25"/>
      <c r="CE31" s="25"/>
      <c r="CF31" s="25"/>
      <c r="CG31" s="25"/>
    </row>
    <row r="32" spans="1:89" ht="14" customHeight="1">
      <c r="A32" s="85" t="str">
        <f>IF([1]Summ!$A1067="","",[1]Summ!$A1067)</f>
        <v>Maize: kg produced</v>
      </c>
      <c r="B32" s="217">
        <f>IF([1]Summ!E1067="",0,[1]Summ!E1067)</f>
        <v>0</v>
      </c>
      <c r="C32" s="217">
        <f>IF([1]Summ!F1067="",0,[1]Summ!F1067)</f>
        <v>0</v>
      </c>
      <c r="D32" s="38">
        <f t="shared" si="24"/>
        <v>0</v>
      </c>
      <c r="E32" s="75">
        <f>E9</f>
        <v>1</v>
      </c>
      <c r="F32" s="26">
        <v>1.02</v>
      </c>
      <c r="G32" s="22">
        <f t="shared" si="25"/>
        <v>1.1200000000000001</v>
      </c>
      <c r="H32" s="24">
        <f t="shared" si="17"/>
        <v>1.02</v>
      </c>
      <c r="I32" s="39">
        <f t="shared" si="18"/>
        <v>0</v>
      </c>
      <c r="J32" s="38">
        <f t="shared" si="19"/>
        <v>0</v>
      </c>
      <c r="K32" s="40">
        <f t="shared" si="20"/>
        <v>0</v>
      </c>
      <c r="L32" s="22">
        <f t="shared" si="21"/>
        <v>0</v>
      </c>
      <c r="M32" s="24">
        <f t="shared" si="22"/>
        <v>0</v>
      </c>
      <c r="N32" s="2"/>
      <c r="O32" s="2"/>
      <c r="P32" s="2"/>
      <c r="Q32" s="59" t="s">
        <v>143</v>
      </c>
      <c r="R32" s="249">
        <f>$B$57+((1-$D$21)*$B$70)</f>
        <v>19249.362863939343</v>
      </c>
      <c r="S32" s="249">
        <f>($B$57*$H$57)+((1-($D$21*$H$21))*$I$70)</f>
        <v>21863.869686861162</v>
      </c>
      <c r="T32" s="249">
        <f>($B$57*$H$57)+((1-($D$21*$H$21))*$I$70)</f>
        <v>21863.869686861162</v>
      </c>
      <c r="U32" s="56"/>
      <c r="V32" s="56"/>
      <c r="W32" s="114"/>
      <c r="X32" s="117">
        <v>1</v>
      </c>
      <c r="Y32" s="109"/>
      <c r="Z32" s="121">
        <f>Z9</f>
        <v>0.43931480225856456</v>
      </c>
      <c r="AA32" s="146">
        <f t="shared" si="30"/>
        <v>0</v>
      </c>
      <c r="AB32" s="121">
        <f>AB9</f>
        <v>0.31239573600981502</v>
      </c>
      <c r="AC32" s="146">
        <f t="shared" si="31"/>
        <v>0</v>
      </c>
      <c r="AD32" s="121">
        <f>AD9</f>
        <v>0.24828946173162042</v>
      </c>
      <c r="AE32" s="146">
        <f t="shared" si="32"/>
        <v>0</v>
      </c>
      <c r="AF32" s="121">
        <f t="shared" si="23"/>
        <v>0</v>
      </c>
      <c r="AG32" s="146">
        <f t="shared" si="26"/>
        <v>0</v>
      </c>
      <c r="AH32" s="122">
        <f t="shared" si="27"/>
        <v>1</v>
      </c>
      <c r="AI32" s="111">
        <f t="shared" si="27"/>
        <v>0</v>
      </c>
      <c r="AJ32" s="147">
        <f t="shared" si="28"/>
        <v>0</v>
      </c>
      <c r="AK32" s="146">
        <f t="shared" si="29"/>
        <v>0</v>
      </c>
      <c r="AP32" s="25"/>
      <c r="AQ32" s="25"/>
      <c r="AR32" s="25"/>
      <c r="AS32" s="25"/>
      <c r="AT32" s="25"/>
      <c r="AU32" s="25"/>
      <c r="AW32" s="25"/>
      <c r="AX32" s="25"/>
      <c r="AY32" s="25"/>
      <c r="AZ32" s="25"/>
      <c r="BA32" s="25"/>
      <c r="BB32" s="25"/>
      <c r="BF32" s="25"/>
      <c r="BG32" s="25"/>
      <c r="BH32" s="25"/>
      <c r="BI32" s="25"/>
      <c r="BJ32" s="25"/>
      <c r="BK32" s="25"/>
      <c r="BM32" s="25"/>
      <c r="BN32" s="25"/>
      <c r="BO32" s="25"/>
      <c r="BP32" s="25"/>
      <c r="BQ32" s="25"/>
      <c r="BR32" s="25"/>
      <c r="BU32" s="25"/>
      <c r="BV32" s="25"/>
      <c r="BW32" s="25"/>
      <c r="BX32" s="25"/>
      <c r="BY32" s="25"/>
      <c r="BZ32" s="25"/>
      <c r="CB32" s="25"/>
      <c r="CC32" s="25"/>
      <c r="CD32" s="25"/>
      <c r="CE32" s="25"/>
      <c r="CF32" s="25"/>
      <c r="CG32" s="25"/>
    </row>
    <row r="33" spans="1:85" ht="14" customHeight="1">
      <c r="A33" s="85" t="str">
        <f>IF([1]Summ!$A1068="","",[1]Summ!$A1068)</f>
        <v>WILD FOODS -- see worksheet Data 3</v>
      </c>
      <c r="B33" s="217">
        <f>IF([1]Summ!E1068="",0,[1]Summ!E1068)</f>
        <v>0</v>
      </c>
      <c r="C33" s="217">
        <f>IF([1]Summ!F1068="",0,[1]Summ!F1068)</f>
        <v>750</v>
      </c>
      <c r="D33" s="38">
        <f t="shared" si="24"/>
        <v>750</v>
      </c>
      <c r="E33" s="26">
        <v>0.8</v>
      </c>
      <c r="F33" s="26">
        <v>1</v>
      </c>
      <c r="G33" s="22">
        <f t="shared" si="25"/>
        <v>1.1200000000000001</v>
      </c>
      <c r="H33" s="24">
        <f t="shared" si="17"/>
        <v>0.8</v>
      </c>
      <c r="I33" s="39">
        <f t="shared" si="18"/>
        <v>600</v>
      </c>
      <c r="J33" s="38">
        <f t="shared" si="19"/>
        <v>600.00000000000011</v>
      </c>
      <c r="K33" s="40">
        <f t="shared" si="20"/>
        <v>0</v>
      </c>
      <c r="L33" s="22">
        <f t="shared" si="21"/>
        <v>0</v>
      </c>
      <c r="M33" s="24">
        <f t="shared" si="22"/>
        <v>1.3707499059626132E-2</v>
      </c>
      <c r="N33" s="2"/>
      <c r="O33" s="2"/>
      <c r="P33" s="2"/>
      <c r="Q33" s="59" t="s">
        <v>144</v>
      </c>
      <c r="R33" s="249">
        <f>$B$57+$B$58+((1-$D$21)*$B$70)</f>
        <v>30933.362863939343</v>
      </c>
      <c r="S33" s="41">
        <f>(($B$57*$H$57)+($B$58*$H$58)+((1-($D$21*$H$21))*$I$70))</f>
        <v>34833.109686861164</v>
      </c>
      <c r="T33" s="41">
        <f>(($B$57*$H$57)+($B$58*$H$58)+((1-($D$21*$H$21))*$I$70))</f>
        <v>34833.109686861164</v>
      </c>
      <c r="U33" s="56"/>
      <c r="V33" s="56"/>
      <c r="W33" s="114"/>
      <c r="X33" s="117">
        <v>1</v>
      </c>
      <c r="Y33" s="109"/>
      <c r="Z33" s="121">
        <f>Z11</f>
        <v>0.43931480225856462</v>
      </c>
      <c r="AA33" s="146">
        <f t="shared" si="30"/>
        <v>263.58888135513882</v>
      </c>
      <c r="AB33" s="121">
        <f>AB11</f>
        <v>0.31239573600981502</v>
      </c>
      <c r="AC33" s="146">
        <f t="shared" si="31"/>
        <v>187.43744160588903</v>
      </c>
      <c r="AD33" s="121">
        <f>AD11</f>
        <v>0.24828946173162034</v>
      </c>
      <c r="AE33" s="146">
        <f t="shared" si="32"/>
        <v>148.97367703897223</v>
      </c>
      <c r="AF33" s="121">
        <f t="shared" si="23"/>
        <v>0</v>
      </c>
      <c r="AG33" s="146">
        <f t="shared" si="26"/>
        <v>0</v>
      </c>
      <c r="AH33" s="122">
        <f t="shared" si="27"/>
        <v>1</v>
      </c>
      <c r="AI33" s="111">
        <f t="shared" si="27"/>
        <v>600.00000000000011</v>
      </c>
      <c r="AJ33" s="147">
        <f t="shared" si="28"/>
        <v>451.02632296102786</v>
      </c>
      <c r="AK33" s="146">
        <f t="shared" si="29"/>
        <v>148.97367703897223</v>
      </c>
      <c r="AP33" s="25"/>
      <c r="AQ33" s="25"/>
      <c r="AR33" s="25"/>
      <c r="AS33" s="25"/>
      <c r="AT33" s="25"/>
      <c r="AU33" s="25"/>
      <c r="AW33" s="25"/>
      <c r="AX33" s="25"/>
      <c r="AY33" s="25"/>
      <c r="AZ33" s="25"/>
      <c r="BA33" s="25"/>
      <c r="BB33" s="25"/>
      <c r="BF33" s="25"/>
      <c r="BG33" s="25"/>
      <c r="BH33" s="25"/>
      <c r="BI33" s="25"/>
      <c r="BJ33" s="25"/>
      <c r="BK33" s="25"/>
      <c r="BM33" s="25"/>
      <c r="BN33" s="25"/>
      <c r="BO33" s="25"/>
      <c r="BP33" s="25"/>
      <c r="BQ33" s="25"/>
      <c r="BR33" s="25"/>
      <c r="BU33" s="25"/>
      <c r="BV33" s="25"/>
      <c r="BW33" s="25"/>
      <c r="BX33" s="25"/>
      <c r="BY33" s="25"/>
      <c r="BZ33" s="25"/>
      <c r="CB33" s="25"/>
      <c r="CC33" s="25"/>
      <c r="CD33" s="25"/>
      <c r="CE33" s="25"/>
      <c r="CF33" s="25"/>
      <c r="CG33" s="25"/>
    </row>
    <row r="34" spans="1:85" ht="14" customHeight="1">
      <c r="A34" s="85" t="str">
        <f>IF([1]Summ!$A1069="","",[1]Summ!$A1069)</f>
        <v>Agricultural cash income -- see Data2</v>
      </c>
      <c r="B34" s="217">
        <f>IF([1]Summ!E1069="",0,[1]Summ!E1069)</f>
        <v>7275</v>
      </c>
      <c r="C34" s="217">
        <f>IF([1]Summ!F1069="",0,[1]Summ!F1069)</f>
        <v>0</v>
      </c>
      <c r="D34" s="38">
        <f t="shared" si="24"/>
        <v>7275</v>
      </c>
      <c r="E34" s="26">
        <v>0.87</v>
      </c>
      <c r="F34" s="26">
        <v>1.1100000000000001</v>
      </c>
      <c r="G34" s="22">
        <f t="shared" si="25"/>
        <v>1.1200000000000001</v>
      </c>
      <c r="H34" s="24">
        <f t="shared" si="17"/>
        <v>0.96570000000000011</v>
      </c>
      <c r="I34" s="39">
        <f t="shared" si="18"/>
        <v>7025.4675000000007</v>
      </c>
      <c r="J34" s="38">
        <f t="shared" si="19"/>
        <v>7025.4675000000007</v>
      </c>
      <c r="K34" s="40">
        <f t="shared" si="20"/>
        <v>0.16620342609796682</v>
      </c>
      <c r="L34" s="22">
        <f t="shared" si="21"/>
        <v>0.16050264858280658</v>
      </c>
      <c r="M34" s="24">
        <f t="shared" si="22"/>
        <v>0.16050264858280658</v>
      </c>
      <c r="N34" s="2"/>
      <c r="O34" s="2"/>
      <c r="P34" s="2"/>
      <c r="Q34" s="59" t="s">
        <v>145</v>
      </c>
      <c r="R34" s="249">
        <f>$B$57+$B$58+$B$59+((1-$D$21)*$B$70)</f>
        <v>51741.362863939343</v>
      </c>
      <c r="S34" s="41">
        <f>(($B$57*$H$57)+($B$58*$H$58)+($B$59*$H$59)+((1-($D$21*$H$21))*$I$70))</f>
        <v>57929.989686861169</v>
      </c>
      <c r="T34" s="41">
        <f>(($B$57*$H$57)+($B$58*$H$58)+($B$59*$H$59)+((1-($D$21*$H$21))*$I$70))</f>
        <v>57929.989686861169</v>
      </c>
      <c r="U34" s="56"/>
      <c r="V34" s="56"/>
      <c r="W34" s="114"/>
      <c r="X34" s="117"/>
      <c r="Y34" s="109"/>
      <c r="Z34" s="115">
        <v>0.25</v>
      </c>
      <c r="AA34" s="146">
        <f t="shared" si="30"/>
        <v>1756.3668750000002</v>
      </c>
      <c r="AB34" s="115">
        <v>0</v>
      </c>
      <c r="AC34" s="146">
        <f t="shared" si="31"/>
        <v>0</v>
      </c>
      <c r="AD34" s="115">
        <v>0.5</v>
      </c>
      <c r="AE34" s="146">
        <f t="shared" si="32"/>
        <v>3512.7337500000003</v>
      </c>
      <c r="AF34" s="121">
        <f t="shared" si="23"/>
        <v>0.25</v>
      </c>
      <c r="AG34" s="146">
        <f t="shared" si="26"/>
        <v>1756.3668750000002</v>
      </c>
      <c r="AH34" s="122">
        <f t="shared" si="27"/>
        <v>1</v>
      </c>
      <c r="AI34" s="111">
        <f t="shared" si="27"/>
        <v>7025.4675000000007</v>
      </c>
      <c r="AJ34" s="147">
        <f t="shared" si="28"/>
        <v>1756.3668750000002</v>
      </c>
      <c r="AK34" s="146">
        <f t="shared" si="29"/>
        <v>5269.1006250000009</v>
      </c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5" ht="14" customHeight="1">
      <c r="A35" s="85" t="str">
        <f>IF([1]Summ!$A1070="","",[1]Summ!$A1070)</f>
        <v>Domestic work cash income -- see Data2</v>
      </c>
      <c r="B35" s="217">
        <f>IF([1]Summ!E1070="",0,[1]Summ!E1070)</f>
        <v>5640</v>
      </c>
      <c r="C35" s="217">
        <f>IF([1]Summ!F1070="",0,[1]Summ!F1070)</f>
        <v>0</v>
      </c>
      <c r="D35" s="38">
        <f t="shared" si="24"/>
        <v>5640</v>
      </c>
      <c r="E35" s="26">
        <v>1</v>
      </c>
      <c r="F35" s="26">
        <v>1.1000000000000001</v>
      </c>
      <c r="G35" s="22">
        <f t="shared" si="25"/>
        <v>1.1200000000000001</v>
      </c>
      <c r="H35" s="24">
        <f t="shared" si="17"/>
        <v>1.1000000000000001</v>
      </c>
      <c r="I35" s="39">
        <f t="shared" si="18"/>
        <v>6204.0000000000009</v>
      </c>
      <c r="J35" s="38">
        <f t="shared" si="19"/>
        <v>6204.0000000000009</v>
      </c>
      <c r="K35" s="40">
        <f t="shared" si="20"/>
        <v>0.12885049116048561</v>
      </c>
      <c r="L35" s="22">
        <f t="shared" si="21"/>
        <v>0.14173554027653418</v>
      </c>
      <c r="M35" s="24">
        <f t="shared" si="22"/>
        <v>0.14173554027653421</v>
      </c>
      <c r="N35" s="2"/>
      <c r="O35" s="2"/>
      <c r="P35" s="2"/>
      <c r="Q35" s="59" t="s">
        <v>146</v>
      </c>
      <c r="R35" s="249">
        <f>$B$57+$B$58+$B$59+$B$60+((1-$D$20-$D$21)*$B$70)</f>
        <v>54291.362863939343</v>
      </c>
      <c r="S35" s="41">
        <f>(($B$57*$H$57)+($B$58*$H$58)+($B$59*$H$59)+($B$60*$H$60)+((1-($D$20*$H$20)-($D$21*$H$21))*$I$70))</f>
        <v>60760.489686861169</v>
      </c>
      <c r="T35" s="41">
        <f>(($B$57*$H$57)+($B$58*$H$58)+($B$59*$H$59)+($B$60*$H$60)+((1-($D$20*$H$20)-($D$21*$H$21))*$I$70))</f>
        <v>60760.489686861169</v>
      </c>
      <c r="U35" s="56"/>
      <c r="V35" s="56"/>
      <c r="W35" s="114"/>
      <c r="X35" s="117"/>
      <c r="Y35" s="109"/>
      <c r="Z35" s="115">
        <v>0.25</v>
      </c>
      <c r="AA35" s="146">
        <f t="shared" si="30"/>
        <v>1551.0000000000002</v>
      </c>
      <c r="AB35" s="115">
        <v>0.25</v>
      </c>
      <c r="AC35" s="146">
        <f t="shared" si="31"/>
        <v>1551.0000000000002</v>
      </c>
      <c r="AD35" s="115">
        <v>0.25</v>
      </c>
      <c r="AE35" s="146">
        <f t="shared" si="32"/>
        <v>1551.0000000000002</v>
      </c>
      <c r="AF35" s="121">
        <f t="shared" si="23"/>
        <v>0.25</v>
      </c>
      <c r="AG35" s="146">
        <f t="shared" si="26"/>
        <v>1551.0000000000002</v>
      </c>
      <c r="AH35" s="122">
        <f t="shared" si="27"/>
        <v>1</v>
      </c>
      <c r="AI35" s="111">
        <f t="shared" si="27"/>
        <v>6204.0000000000009</v>
      </c>
      <c r="AJ35" s="147">
        <f t="shared" si="28"/>
        <v>3102.0000000000005</v>
      </c>
      <c r="AK35" s="146">
        <f t="shared" si="29"/>
        <v>3102.0000000000005</v>
      </c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5" ht="14" customHeight="1">
      <c r="A36" s="85" t="str">
        <f>IF([1]Summ!$A1071="","",[1]Summ!$A1071)</f>
        <v>Formal Employment (conservancies, etc.)</v>
      </c>
      <c r="B36" s="217">
        <f>IF([1]Summ!E1071="",0,[1]Summ!E1071)</f>
        <v>0</v>
      </c>
      <c r="C36" s="217">
        <f>IF([1]Summ!F1071="",0,[1]Summ!F1071)</f>
        <v>0</v>
      </c>
      <c r="D36" s="38">
        <f t="shared" si="24"/>
        <v>0</v>
      </c>
      <c r="E36" s="26">
        <v>1</v>
      </c>
      <c r="F36" s="26">
        <v>1.07</v>
      </c>
      <c r="G36" s="22">
        <f t="shared" si="25"/>
        <v>1.1200000000000001</v>
      </c>
      <c r="H36" s="24">
        <f t="shared" si="17"/>
        <v>1.07</v>
      </c>
      <c r="I36" s="39">
        <f t="shared" si="18"/>
        <v>0</v>
      </c>
      <c r="J36" s="38">
        <f t="shared" si="19"/>
        <v>0</v>
      </c>
      <c r="K36" s="40">
        <f t="shared" si="20"/>
        <v>0</v>
      </c>
      <c r="L36" s="22">
        <f t="shared" si="21"/>
        <v>0</v>
      </c>
      <c r="M36" s="24">
        <f t="shared" si="22"/>
        <v>0</v>
      </c>
      <c r="N36" s="2"/>
      <c r="O36" s="2"/>
      <c r="P36" s="2"/>
      <c r="Q36" s="59"/>
      <c r="R36" s="224"/>
      <c r="S36" s="224"/>
      <c r="T36" s="224"/>
      <c r="U36" s="56"/>
      <c r="V36" s="56"/>
      <c r="W36" s="116"/>
      <c r="X36" s="117"/>
      <c r="Y36" s="109"/>
      <c r="Z36" s="115">
        <v>0.25</v>
      </c>
      <c r="AA36" s="146">
        <f t="shared" si="30"/>
        <v>0</v>
      </c>
      <c r="AB36" s="115">
        <v>0.25</v>
      </c>
      <c r="AC36" s="146">
        <f t="shared" si="31"/>
        <v>0</v>
      </c>
      <c r="AD36" s="115">
        <v>0.25</v>
      </c>
      <c r="AE36" s="146">
        <f t="shared" si="32"/>
        <v>0</v>
      </c>
      <c r="AF36" s="121">
        <f t="shared" si="23"/>
        <v>0.25</v>
      </c>
      <c r="AG36" s="146">
        <f t="shared" si="26"/>
        <v>0</v>
      </c>
      <c r="AH36" s="122">
        <f t="shared" si="27"/>
        <v>1</v>
      </c>
      <c r="AI36" s="111">
        <f t="shared" si="27"/>
        <v>0</v>
      </c>
      <c r="AJ36" s="147">
        <f t="shared" si="28"/>
        <v>0</v>
      </c>
      <c r="AK36" s="146">
        <f t="shared" si="29"/>
        <v>0</v>
      </c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5" ht="14" customHeight="1">
      <c r="A37" s="85" t="str">
        <f>IF([1]Summ!$A1072="","",[1]Summ!$A1072)</f>
        <v>Self-employment -- see Data2</v>
      </c>
      <c r="B37" s="217">
        <f>IF([1]Summ!E1072="",0,[1]Summ!E1072)</f>
        <v>5040</v>
      </c>
      <c r="C37" s="217">
        <f>IF([1]Summ!F1072="",0,[1]Summ!F1072)</f>
        <v>1008</v>
      </c>
      <c r="D37" s="38">
        <f t="shared" si="24"/>
        <v>6048</v>
      </c>
      <c r="E37" s="26">
        <v>1</v>
      </c>
      <c r="F37" s="26">
        <v>1.1000000000000001</v>
      </c>
      <c r="G37" s="22">
        <f t="shared" si="25"/>
        <v>1.1200000000000001</v>
      </c>
      <c r="H37" s="24">
        <f t="shared" si="17"/>
        <v>1.1000000000000001</v>
      </c>
      <c r="I37" s="39">
        <f t="shared" si="18"/>
        <v>6652.8</v>
      </c>
      <c r="J37" s="38">
        <f t="shared" si="19"/>
        <v>6652.800000000002</v>
      </c>
      <c r="K37" s="40">
        <f t="shared" si="20"/>
        <v>0.11514299210085949</v>
      </c>
      <c r="L37" s="22">
        <f t="shared" si="21"/>
        <v>0.12665729131094544</v>
      </c>
      <c r="M37" s="24">
        <f t="shared" si="22"/>
        <v>0.15198874957313457</v>
      </c>
      <c r="N37" s="2"/>
      <c r="O37" s="2"/>
      <c r="P37" s="2"/>
      <c r="Q37" s="56" t="s">
        <v>147</v>
      </c>
      <c r="R37" s="246">
        <f>IF(R24&gt;R$23,R24-R$23,0)</f>
        <v>0</v>
      </c>
      <c r="S37" s="246">
        <f t="shared" ref="S37:T40" si="33">IF(S24&gt;S$23,S24-S$23,0)</f>
        <v>0</v>
      </c>
      <c r="T37" s="246">
        <f t="shared" si="33"/>
        <v>0</v>
      </c>
      <c r="U37" s="56"/>
      <c r="V37" s="56"/>
      <c r="W37" s="109"/>
      <c r="X37" s="117"/>
      <c r="Y37" s="109"/>
      <c r="Z37" s="115">
        <v>0.25</v>
      </c>
      <c r="AA37" s="146">
        <f t="shared" si="30"/>
        <v>1663.2000000000005</v>
      </c>
      <c r="AB37" s="115">
        <v>0.25</v>
      </c>
      <c r="AC37" s="146">
        <f t="shared" si="31"/>
        <v>1663.2000000000005</v>
      </c>
      <c r="AD37" s="115">
        <v>0.25</v>
      </c>
      <c r="AE37" s="146">
        <f t="shared" si="32"/>
        <v>1663.2000000000005</v>
      </c>
      <c r="AF37" s="121">
        <f t="shared" si="23"/>
        <v>0.25</v>
      </c>
      <c r="AG37" s="146">
        <f t="shared" si="26"/>
        <v>1663.2000000000005</v>
      </c>
      <c r="AH37" s="122">
        <f t="shared" si="27"/>
        <v>1</v>
      </c>
      <c r="AI37" s="111">
        <f t="shared" si="27"/>
        <v>6652.800000000002</v>
      </c>
      <c r="AJ37" s="147">
        <f t="shared" si="28"/>
        <v>3326.400000000001</v>
      </c>
      <c r="AK37" s="146">
        <f t="shared" si="29"/>
        <v>3326.400000000001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5" ht="14" customHeight="1">
      <c r="A38" s="85" t="str">
        <f>IF([1]Summ!$A1073="","",[1]Summ!$A1073)</f>
        <v>Small business -- see Data2</v>
      </c>
      <c r="B38" s="217">
        <f>IF([1]Summ!E1073="",0,[1]Summ!E1073)</f>
        <v>3600</v>
      </c>
      <c r="C38" s="217">
        <f>IF([1]Summ!F1073="",0,[1]Summ!F1073)</f>
        <v>0</v>
      </c>
      <c r="D38" s="38">
        <f t="shared" si="24"/>
        <v>3600</v>
      </c>
      <c r="E38" s="26">
        <v>1</v>
      </c>
      <c r="F38" s="26">
        <v>1.05</v>
      </c>
      <c r="G38" s="22">
        <f t="shared" si="25"/>
        <v>1.1200000000000001</v>
      </c>
      <c r="H38" s="24">
        <f t="shared" si="17"/>
        <v>1.05</v>
      </c>
      <c r="I38" s="39">
        <f t="shared" si="18"/>
        <v>3780</v>
      </c>
      <c r="J38" s="38">
        <f t="shared" si="19"/>
        <v>3780.0000000000005</v>
      </c>
      <c r="K38" s="40">
        <f t="shared" si="20"/>
        <v>8.224499435775677E-2</v>
      </c>
      <c r="L38" s="22">
        <f t="shared" si="21"/>
        <v>8.6357244075644615E-2</v>
      </c>
      <c r="M38" s="24">
        <f t="shared" si="22"/>
        <v>8.6357244075644629E-2</v>
      </c>
      <c r="N38" s="2"/>
      <c r="O38" s="2"/>
      <c r="P38" s="2"/>
      <c r="Q38" s="59" t="s">
        <v>148</v>
      </c>
      <c r="R38" s="246">
        <f>IF(R25&gt;R$23,R25-R$23,0)</f>
        <v>0</v>
      </c>
      <c r="S38" s="246">
        <f t="shared" si="33"/>
        <v>0</v>
      </c>
      <c r="T38" s="246">
        <f t="shared" si="33"/>
        <v>0</v>
      </c>
      <c r="U38" s="56"/>
      <c r="V38" s="56"/>
      <c r="W38" s="109"/>
      <c r="X38" s="117"/>
      <c r="Y38" s="109"/>
      <c r="Z38" s="115">
        <v>0.25</v>
      </c>
      <c r="AA38" s="146">
        <f t="shared" si="30"/>
        <v>945.00000000000011</v>
      </c>
      <c r="AB38" s="115">
        <v>0.25</v>
      </c>
      <c r="AC38" s="146">
        <f t="shared" si="31"/>
        <v>945.00000000000011</v>
      </c>
      <c r="AD38" s="115">
        <v>0.25</v>
      </c>
      <c r="AE38" s="146">
        <f t="shared" si="32"/>
        <v>945.00000000000011</v>
      </c>
      <c r="AF38" s="121">
        <f t="shared" si="23"/>
        <v>0.25</v>
      </c>
      <c r="AG38" s="146">
        <f t="shared" si="26"/>
        <v>945.00000000000011</v>
      </c>
      <c r="AH38" s="122">
        <f t="shared" si="27"/>
        <v>1</v>
      </c>
      <c r="AI38" s="111">
        <f t="shared" si="27"/>
        <v>3780.0000000000005</v>
      </c>
      <c r="AJ38" s="147">
        <f t="shared" si="28"/>
        <v>1890.0000000000002</v>
      </c>
      <c r="AK38" s="146">
        <f t="shared" si="29"/>
        <v>1890.0000000000002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5" ht="14" customHeight="1">
      <c r="A39" s="85" t="str">
        <f>IF([1]Summ!$A1074="","",[1]Summ!$A1074)</f>
        <v>Social Cash Transfers -- see Data2</v>
      </c>
      <c r="B39" s="217">
        <f>IF([1]Summ!E1074="",0,[1]Summ!E1074)</f>
        <v>18586.660854402788</v>
      </c>
      <c r="C39" s="217">
        <f>IF([1]Summ!F1074="",0,[1]Summ!F1074)</f>
        <v>0</v>
      </c>
      <c r="D39" s="38">
        <f t="shared" si="24"/>
        <v>18586.660854402788</v>
      </c>
      <c r="E39" s="26">
        <v>1</v>
      </c>
      <c r="F39" s="26">
        <v>1.1100000000000001</v>
      </c>
      <c r="G39" s="22">
        <f t="shared" si="25"/>
        <v>1.1200000000000001</v>
      </c>
      <c r="H39" s="24">
        <f t="shared" si="17"/>
        <v>1.1100000000000001</v>
      </c>
      <c r="I39" s="39">
        <f t="shared" si="18"/>
        <v>20631.193548387095</v>
      </c>
      <c r="J39" s="38">
        <f t="shared" si="19"/>
        <v>20631.193548387098</v>
      </c>
      <c r="K39" s="40">
        <f t="shared" si="20"/>
        <v>0.42462772697219331</v>
      </c>
      <c r="L39" s="22">
        <f t="shared" si="21"/>
        <v>0.47133677693913462</v>
      </c>
      <c r="M39" s="24">
        <f t="shared" si="22"/>
        <v>0.47133677693913467</v>
      </c>
      <c r="N39" s="2"/>
      <c r="O39" s="2"/>
      <c r="P39" s="2"/>
      <c r="Q39" s="56" t="s">
        <v>149</v>
      </c>
      <c r="R39" s="246">
        <f>IF(R26&gt;R$23,R26-R$23,0)</f>
        <v>6905.5041858974291</v>
      </c>
      <c r="S39" s="246">
        <f t="shared" si="33"/>
        <v>7889.3613476885512</v>
      </c>
      <c r="T39" s="246">
        <f t="shared" si="33"/>
        <v>5894.1265467910198</v>
      </c>
      <c r="U39" s="56"/>
      <c r="V39" s="56"/>
      <c r="W39" s="109"/>
      <c r="X39" s="117"/>
      <c r="Y39" s="109"/>
      <c r="Z39" s="115">
        <v>0.25</v>
      </c>
      <c r="AA39" s="146">
        <f t="shared" si="30"/>
        <v>5157.7983870967746</v>
      </c>
      <c r="AB39" s="115">
        <v>0.25</v>
      </c>
      <c r="AC39" s="146">
        <f t="shared" si="31"/>
        <v>5157.7983870967746</v>
      </c>
      <c r="AD39" s="115">
        <v>0.25</v>
      </c>
      <c r="AE39" s="146">
        <f t="shared" si="32"/>
        <v>5157.7983870967746</v>
      </c>
      <c r="AF39" s="121">
        <f t="shared" si="23"/>
        <v>0.25</v>
      </c>
      <c r="AG39" s="146">
        <f t="shared" si="26"/>
        <v>5157.7983870967746</v>
      </c>
      <c r="AH39" s="122">
        <f t="shared" si="27"/>
        <v>1</v>
      </c>
      <c r="AI39" s="111">
        <f t="shared" si="27"/>
        <v>20631.193548387098</v>
      </c>
      <c r="AJ39" s="147">
        <f t="shared" si="28"/>
        <v>10315.596774193549</v>
      </c>
      <c r="AK39" s="146">
        <f t="shared" si="29"/>
        <v>10315.596774193549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5" ht="14" customHeight="1">
      <c r="A40" s="85" t="str">
        <f>IF([1]Summ!$A1075="","",[1]Summ!$A1075)</f>
        <v/>
      </c>
      <c r="B40" s="217">
        <f>IF([1]Summ!E1075="",0,[1]Summ!E1075)</f>
        <v>0</v>
      </c>
      <c r="C40" s="217">
        <f>IF([1]Summ!F1075="",0,[1]Summ!F1075)</f>
        <v>0</v>
      </c>
      <c r="D40" s="38">
        <f t="shared" si="24"/>
        <v>0</v>
      </c>
      <c r="E40" s="26">
        <v>1</v>
      </c>
      <c r="F40" s="26">
        <v>1</v>
      </c>
      <c r="G40" s="22">
        <f t="shared" si="25"/>
        <v>1.1200000000000001</v>
      </c>
      <c r="H40" s="24">
        <f t="shared" si="17"/>
        <v>1</v>
      </c>
      <c r="I40" s="39">
        <f t="shared" si="18"/>
        <v>0</v>
      </c>
      <c r="J40" s="38">
        <f t="shared" si="19"/>
        <v>0</v>
      </c>
      <c r="K40" s="40">
        <f t="shared" si="20"/>
        <v>0</v>
      </c>
      <c r="L40" s="22">
        <f t="shared" si="21"/>
        <v>0</v>
      </c>
      <c r="M40" s="24">
        <f t="shared" si="22"/>
        <v>0</v>
      </c>
      <c r="N40" s="2"/>
      <c r="O40" s="2"/>
      <c r="P40" s="2"/>
      <c r="Q40" s="59" t="s">
        <v>150</v>
      </c>
      <c r="R40" s="246">
        <f>IF(R27&gt;R$23,R27-R$23,0)</f>
        <v>9801.8529167918095</v>
      </c>
      <c r="S40" s="246">
        <f t="shared" si="33"/>
        <v>10719.861347688551</v>
      </c>
      <c r="T40" s="246">
        <f t="shared" si="33"/>
        <v>8724.6265467910198</v>
      </c>
      <c r="U40" s="56"/>
      <c r="V40" s="56"/>
      <c r="W40" s="109"/>
      <c r="X40" s="117"/>
      <c r="Y40" s="109"/>
      <c r="Z40" s="115">
        <v>0.25</v>
      </c>
      <c r="AA40" s="146">
        <f t="shared" si="30"/>
        <v>0</v>
      </c>
      <c r="AB40" s="115">
        <v>0.25</v>
      </c>
      <c r="AC40" s="146">
        <f t="shared" si="31"/>
        <v>0</v>
      </c>
      <c r="AD40" s="115">
        <v>0.25</v>
      </c>
      <c r="AE40" s="146">
        <f t="shared" si="32"/>
        <v>0</v>
      </c>
      <c r="AF40" s="121">
        <f t="shared" si="23"/>
        <v>0.25</v>
      </c>
      <c r="AG40" s="146">
        <f t="shared" si="26"/>
        <v>0</v>
      </c>
      <c r="AH40" s="122">
        <f t="shared" si="27"/>
        <v>1</v>
      </c>
      <c r="AI40" s="111">
        <f t="shared" si="27"/>
        <v>0</v>
      </c>
      <c r="AJ40" s="147">
        <f t="shared" si="28"/>
        <v>0</v>
      </c>
      <c r="AK40" s="146">
        <f t="shared" si="2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5" ht="14" customHeight="1">
      <c r="A41" s="85" t="str">
        <f>IF([1]Summ!$A1076="","",[1]Summ!$A1076)</f>
        <v/>
      </c>
      <c r="B41" s="217">
        <f>IF([1]Summ!E1076="",0,[1]Summ!E1076)</f>
        <v>0</v>
      </c>
      <c r="C41" s="217">
        <f>IF([1]Summ!F1076="",0,[1]Summ!F1076)</f>
        <v>0</v>
      </c>
      <c r="D41" s="38">
        <f t="shared" si="24"/>
        <v>0</v>
      </c>
      <c r="E41" s="26">
        <v>1</v>
      </c>
      <c r="F41" s="26">
        <v>1</v>
      </c>
      <c r="G41" s="22">
        <f t="shared" si="25"/>
        <v>1.1200000000000001</v>
      </c>
      <c r="H41" s="24">
        <f t="shared" si="17"/>
        <v>1</v>
      </c>
      <c r="I41" s="39">
        <f t="shared" si="18"/>
        <v>0</v>
      </c>
      <c r="J41" s="38">
        <f t="shared" si="19"/>
        <v>0</v>
      </c>
      <c r="K41" s="40">
        <f t="shared" si="20"/>
        <v>0</v>
      </c>
      <c r="L41" s="22">
        <f t="shared" si="21"/>
        <v>0</v>
      </c>
      <c r="M41" s="24">
        <f t="shared" si="22"/>
        <v>0</v>
      </c>
      <c r="N41" s="2"/>
      <c r="O41" s="2"/>
      <c r="P41" s="2"/>
      <c r="Q41" s="56"/>
      <c r="R41" s="56"/>
      <c r="S41" s="56"/>
      <c r="T41" s="56"/>
      <c r="U41" s="56"/>
      <c r="V41" s="56"/>
      <c r="W41" s="109"/>
      <c r="X41" s="117"/>
      <c r="Y41" s="109"/>
      <c r="Z41" s="115">
        <v>0.25</v>
      </c>
      <c r="AA41" s="146">
        <f t="shared" si="30"/>
        <v>0</v>
      </c>
      <c r="AB41" s="115">
        <v>0.25</v>
      </c>
      <c r="AC41" s="146">
        <f t="shared" si="31"/>
        <v>0</v>
      </c>
      <c r="AD41" s="115">
        <v>0.25</v>
      </c>
      <c r="AE41" s="146">
        <f t="shared" si="32"/>
        <v>0</v>
      </c>
      <c r="AF41" s="121">
        <f t="shared" si="23"/>
        <v>0.25</v>
      </c>
      <c r="AG41" s="146">
        <f t="shared" si="26"/>
        <v>0</v>
      </c>
      <c r="AH41" s="122">
        <f t="shared" si="27"/>
        <v>1</v>
      </c>
      <c r="AI41" s="111">
        <f t="shared" si="27"/>
        <v>0</v>
      </c>
      <c r="AJ41" s="147">
        <f t="shared" si="28"/>
        <v>0</v>
      </c>
      <c r="AK41" s="146">
        <f t="shared" si="2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5" ht="14" customHeight="1">
      <c r="A42" s="85" t="str">
        <f>IF([1]Summ!$A1077="","",[1]Summ!$A1077)</f>
        <v/>
      </c>
      <c r="B42" s="217">
        <f>IF([1]Summ!E1077="",0,[1]Summ!E1077)</f>
        <v>0</v>
      </c>
      <c r="C42" s="217">
        <f>IF([1]Summ!F1077="",0,[1]Summ!F1077)</f>
        <v>0</v>
      </c>
      <c r="D42" s="38">
        <f t="shared" si="24"/>
        <v>0</v>
      </c>
      <c r="E42" s="26">
        <v>1</v>
      </c>
      <c r="F42" s="26">
        <v>1</v>
      </c>
      <c r="G42" s="22">
        <f t="shared" si="25"/>
        <v>1.1200000000000001</v>
      </c>
      <c r="H42" s="24">
        <f t="shared" si="17"/>
        <v>1</v>
      </c>
      <c r="I42" s="39">
        <f t="shared" si="18"/>
        <v>0</v>
      </c>
      <c r="J42" s="38">
        <f t="shared" si="19"/>
        <v>0</v>
      </c>
      <c r="K42" s="40">
        <f t="shared" si="20"/>
        <v>0</v>
      </c>
      <c r="L42" s="22">
        <f t="shared" si="21"/>
        <v>0</v>
      </c>
      <c r="M42" s="24">
        <f t="shared" si="22"/>
        <v>0</v>
      </c>
      <c r="N42" s="2"/>
      <c r="O42" s="2"/>
      <c r="P42" s="2"/>
      <c r="Q42" s="56"/>
      <c r="R42" s="41"/>
      <c r="S42" s="56"/>
      <c r="T42" s="56"/>
      <c r="U42" s="56"/>
      <c r="V42" s="56"/>
      <c r="W42" s="109"/>
      <c r="X42" s="117"/>
      <c r="Y42" s="109"/>
      <c r="Z42" s="115">
        <v>0.25</v>
      </c>
      <c r="AA42" s="146">
        <f t="shared" si="30"/>
        <v>0</v>
      </c>
      <c r="AB42" s="115">
        <v>0.25</v>
      </c>
      <c r="AC42" s="146">
        <f t="shared" si="31"/>
        <v>0</v>
      </c>
      <c r="AD42" s="115">
        <v>0.25</v>
      </c>
      <c r="AE42" s="146">
        <f t="shared" si="32"/>
        <v>0</v>
      </c>
      <c r="AF42" s="121">
        <f t="shared" si="23"/>
        <v>0.25</v>
      </c>
      <c r="AG42" s="146">
        <f t="shared" si="26"/>
        <v>0</v>
      </c>
      <c r="AH42" s="122">
        <f t="shared" si="27"/>
        <v>1</v>
      </c>
      <c r="AI42" s="111">
        <f t="shared" si="27"/>
        <v>0</v>
      </c>
      <c r="AJ42" s="147">
        <f t="shared" si="28"/>
        <v>0</v>
      </c>
      <c r="AK42" s="146">
        <f t="shared" si="2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5" ht="14" customHeight="1">
      <c r="A43" s="85" t="str">
        <f>IF([1]Summ!$A1078="","",[1]Summ!$A1078)</f>
        <v/>
      </c>
      <c r="B43" s="217">
        <f>IF([1]Summ!E1078="",0,[1]Summ!E1078)</f>
        <v>0</v>
      </c>
      <c r="C43" s="217">
        <f>IF([1]Summ!F1078="",0,[1]Summ!F1078)</f>
        <v>0</v>
      </c>
      <c r="D43" s="38">
        <f t="shared" si="24"/>
        <v>0</v>
      </c>
      <c r="E43" s="26">
        <v>1</v>
      </c>
      <c r="F43" s="26">
        <v>1</v>
      </c>
      <c r="G43" s="22">
        <f t="shared" si="25"/>
        <v>1.1200000000000001</v>
      </c>
      <c r="H43" s="24">
        <f t="shared" si="17"/>
        <v>1</v>
      </c>
      <c r="I43" s="39">
        <f t="shared" si="18"/>
        <v>0</v>
      </c>
      <c r="J43" s="38">
        <f t="shared" si="19"/>
        <v>0</v>
      </c>
      <c r="K43" s="40">
        <f t="shared" si="20"/>
        <v>0</v>
      </c>
      <c r="L43" s="22">
        <f t="shared" si="21"/>
        <v>0</v>
      </c>
      <c r="M43" s="24">
        <f t="shared" si="22"/>
        <v>0</v>
      </c>
      <c r="N43" s="2"/>
      <c r="O43" s="2"/>
      <c r="P43" s="2"/>
      <c r="Q43" s="56"/>
      <c r="R43" s="56"/>
      <c r="S43" s="56"/>
      <c r="T43" s="56"/>
      <c r="U43" s="56"/>
      <c r="V43" s="56"/>
      <c r="W43" s="109"/>
      <c r="X43" s="117"/>
      <c r="Y43" s="109"/>
      <c r="Z43" s="115">
        <v>0.25</v>
      </c>
      <c r="AA43" s="146">
        <f t="shared" si="30"/>
        <v>0</v>
      </c>
      <c r="AB43" s="115">
        <v>0.25</v>
      </c>
      <c r="AC43" s="146">
        <f t="shared" si="31"/>
        <v>0</v>
      </c>
      <c r="AD43" s="115">
        <v>0.25</v>
      </c>
      <c r="AE43" s="146">
        <f t="shared" si="32"/>
        <v>0</v>
      </c>
      <c r="AF43" s="121">
        <f t="shared" si="23"/>
        <v>0.25</v>
      </c>
      <c r="AG43" s="146">
        <f t="shared" si="26"/>
        <v>0</v>
      </c>
      <c r="AH43" s="122">
        <f t="shared" si="27"/>
        <v>1</v>
      </c>
      <c r="AI43" s="111">
        <f t="shared" si="27"/>
        <v>0</v>
      </c>
      <c r="AJ43" s="147">
        <f t="shared" si="28"/>
        <v>0</v>
      </c>
      <c r="AK43" s="146">
        <f t="shared" si="2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5" ht="14" customHeight="1">
      <c r="A44" s="85" t="str">
        <f>IF([1]Summ!$A1079="","",[1]Summ!$A1079)</f>
        <v/>
      </c>
      <c r="B44" s="217">
        <f>IF([1]Summ!E1079="",0,[1]Summ!E1079)</f>
        <v>0</v>
      </c>
      <c r="C44" s="217">
        <f>IF([1]Summ!F1079="",0,[1]Summ!F1079)</f>
        <v>0</v>
      </c>
      <c r="D44" s="38">
        <f t="shared" si="24"/>
        <v>0</v>
      </c>
      <c r="E44" s="26">
        <v>1</v>
      </c>
      <c r="F44" s="26">
        <v>1</v>
      </c>
      <c r="G44" s="22">
        <f t="shared" si="25"/>
        <v>1.1200000000000001</v>
      </c>
      <c r="H44" s="24">
        <f t="shared" si="17"/>
        <v>1</v>
      </c>
      <c r="I44" s="39">
        <f t="shared" si="18"/>
        <v>0</v>
      </c>
      <c r="J44" s="38">
        <f t="shared" si="19"/>
        <v>0</v>
      </c>
      <c r="K44" s="40">
        <f t="shared" si="20"/>
        <v>0</v>
      </c>
      <c r="L44" s="22">
        <f t="shared" si="21"/>
        <v>0</v>
      </c>
      <c r="M44" s="24">
        <f t="shared" si="22"/>
        <v>0</v>
      </c>
      <c r="N44" s="2"/>
      <c r="O44" s="2"/>
      <c r="P44" s="2"/>
      <c r="Q44" s="56"/>
      <c r="R44" s="56"/>
      <c r="S44" s="56"/>
      <c r="T44" s="56"/>
      <c r="U44" s="56"/>
      <c r="V44" s="56"/>
      <c r="W44" s="109"/>
      <c r="X44" s="117"/>
      <c r="Y44" s="109"/>
      <c r="Z44" s="115">
        <v>0.25</v>
      </c>
      <c r="AA44" s="146">
        <f t="shared" si="30"/>
        <v>0</v>
      </c>
      <c r="AB44" s="115">
        <v>0.25</v>
      </c>
      <c r="AC44" s="146">
        <f t="shared" si="31"/>
        <v>0</v>
      </c>
      <c r="AD44" s="115">
        <v>0.25</v>
      </c>
      <c r="AE44" s="146">
        <f t="shared" si="32"/>
        <v>0</v>
      </c>
      <c r="AF44" s="121">
        <f t="shared" si="23"/>
        <v>0.25</v>
      </c>
      <c r="AG44" s="146">
        <f t="shared" si="26"/>
        <v>0</v>
      </c>
      <c r="AH44" s="122">
        <f t="shared" si="27"/>
        <v>1</v>
      </c>
      <c r="AI44" s="111">
        <f t="shared" si="27"/>
        <v>0</v>
      </c>
      <c r="AJ44" s="147">
        <f t="shared" si="28"/>
        <v>0</v>
      </c>
      <c r="AK44" s="146">
        <f t="shared" si="2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5" ht="14" customHeight="1">
      <c r="A45" s="85" t="str">
        <f>IF([1]Summ!$A1080="","",[1]Summ!$A1080)</f>
        <v/>
      </c>
      <c r="B45" s="217">
        <f>IF([1]Summ!E1080="",0,[1]Summ!E1080)</f>
        <v>0</v>
      </c>
      <c r="C45" s="217">
        <f>IF([1]Summ!F1080="",0,[1]Summ!F1080)</f>
        <v>0</v>
      </c>
      <c r="D45" s="38">
        <f t="shared" si="24"/>
        <v>0</v>
      </c>
      <c r="E45" s="26">
        <v>1</v>
      </c>
      <c r="F45" s="26">
        <v>1</v>
      </c>
      <c r="G45" s="22">
        <f t="shared" si="25"/>
        <v>1.1200000000000001</v>
      </c>
      <c r="H45" s="24">
        <f t="shared" si="17"/>
        <v>1</v>
      </c>
      <c r="I45" s="39">
        <f t="shared" si="18"/>
        <v>0</v>
      </c>
      <c r="J45" s="38">
        <f t="shared" si="19"/>
        <v>0</v>
      </c>
      <c r="K45" s="40">
        <f t="shared" si="20"/>
        <v>0</v>
      </c>
      <c r="L45" s="22">
        <f t="shared" si="21"/>
        <v>0</v>
      </c>
      <c r="M45" s="24">
        <f t="shared" si="22"/>
        <v>0</v>
      </c>
      <c r="N45" s="2"/>
      <c r="O45" s="2"/>
      <c r="P45" s="2"/>
      <c r="Q45" s="56"/>
      <c r="R45" s="56"/>
      <c r="S45" s="56"/>
      <c r="T45" s="56"/>
      <c r="U45" s="56"/>
      <c r="V45" s="56"/>
      <c r="W45" s="109"/>
      <c r="X45" s="117"/>
      <c r="Y45" s="109"/>
      <c r="Z45" s="115">
        <v>0.25</v>
      </c>
      <c r="AA45" s="146">
        <f t="shared" si="30"/>
        <v>0</v>
      </c>
      <c r="AB45" s="115">
        <v>0.25</v>
      </c>
      <c r="AC45" s="146">
        <f t="shared" si="31"/>
        <v>0</v>
      </c>
      <c r="AD45" s="115">
        <v>0.25</v>
      </c>
      <c r="AE45" s="146">
        <f t="shared" si="32"/>
        <v>0</v>
      </c>
      <c r="AF45" s="121">
        <f t="shared" si="23"/>
        <v>0.25</v>
      </c>
      <c r="AG45" s="146">
        <f t="shared" si="26"/>
        <v>0</v>
      </c>
      <c r="AH45" s="122">
        <f t="shared" si="27"/>
        <v>1</v>
      </c>
      <c r="AI45" s="111">
        <f t="shared" si="27"/>
        <v>0</v>
      </c>
      <c r="AJ45" s="147">
        <f t="shared" si="28"/>
        <v>0</v>
      </c>
      <c r="AK45" s="146">
        <f t="shared" si="2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5" ht="14" customHeight="1">
      <c r="A46" s="85" t="str">
        <f>IF([1]Summ!$A1081="","",[1]Summ!$A1081)</f>
        <v/>
      </c>
      <c r="B46" s="217">
        <f>IF([1]Summ!E1081="",0,[1]Summ!E1081)</f>
        <v>0</v>
      </c>
      <c r="C46" s="217">
        <f>IF([1]Summ!F1081="",0,[1]Summ!F1081)</f>
        <v>0</v>
      </c>
      <c r="D46" s="38">
        <f t="shared" si="24"/>
        <v>0</v>
      </c>
      <c r="E46" s="26">
        <v>1</v>
      </c>
      <c r="F46" s="26">
        <v>1</v>
      </c>
      <c r="G46" s="22">
        <f t="shared" si="25"/>
        <v>1.1200000000000001</v>
      </c>
      <c r="H46" s="24">
        <f t="shared" si="17"/>
        <v>1</v>
      </c>
      <c r="I46" s="39">
        <f t="shared" si="18"/>
        <v>0</v>
      </c>
      <c r="J46" s="38">
        <f t="shared" si="19"/>
        <v>0</v>
      </c>
      <c r="K46" s="40">
        <f t="shared" si="20"/>
        <v>0</v>
      </c>
      <c r="L46" s="22">
        <f t="shared" si="21"/>
        <v>0</v>
      </c>
      <c r="M46" s="24">
        <f t="shared" si="22"/>
        <v>0</v>
      </c>
      <c r="N46" s="2"/>
      <c r="O46" s="2"/>
      <c r="P46" s="2"/>
      <c r="Q46" s="56"/>
      <c r="R46" s="56"/>
      <c r="S46" s="56"/>
      <c r="T46" s="56"/>
      <c r="U46" s="56"/>
      <c r="V46" s="56"/>
      <c r="W46" s="109"/>
      <c r="X46" s="117"/>
      <c r="Y46" s="109"/>
      <c r="Z46" s="115">
        <v>0.25</v>
      </c>
      <c r="AA46" s="146">
        <f t="shared" si="30"/>
        <v>0</v>
      </c>
      <c r="AB46" s="115">
        <v>0.25</v>
      </c>
      <c r="AC46" s="146">
        <f t="shared" si="31"/>
        <v>0</v>
      </c>
      <c r="AD46" s="115">
        <v>0.25</v>
      </c>
      <c r="AE46" s="146">
        <f t="shared" si="32"/>
        <v>0</v>
      </c>
      <c r="AF46" s="121">
        <f t="shared" si="23"/>
        <v>0.25</v>
      </c>
      <c r="AG46" s="146">
        <f t="shared" si="26"/>
        <v>0</v>
      </c>
      <c r="AH46" s="122">
        <f t="shared" ref="AH46:AI51" si="34">SUM(Z46,AB46,AD46,AF46)</f>
        <v>1</v>
      </c>
      <c r="AI46" s="111">
        <f t="shared" si="34"/>
        <v>0</v>
      </c>
      <c r="AJ46" s="147">
        <f t="shared" si="28"/>
        <v>0</v>
      </c>
      <c r="AK46" s="146">
        <f t="shared" si="2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5" ht="14" customHeight="1">
      <c r="A47" s="85" t="str">
        <f>IF([1]Summ!$A1082="","",[1]Summ!$A1082)</f>
        <v/>
      </c>
      <c r="B47" s="217">
        <f>IF([1]Summ!E1082="",0,[1]Summ!E1082)</f>
        <v>0</v>
      </c>
      <c r="C47" s="217">
        <f>IF([1]Summ!F1082="",0,[1]Summ!F1082)</f>
        <v>0</v>
      </c>
      <c r="D47" s="38">
        <f t="shared" si="24"/>
        <v>0</v>
      </c>
      <c r="E47" s="26">
        <v>1</v>
      </c>
      <c r="F47" s="26">
        <v>1</v>
      </c>
      <c r="G47" s="22">
        <f t="shared" si="25"/>
        <v>1.1200000000000001</v>
      </c>
      <c r="H47" s="24">
        <f t="shared" si="17"/>
        <v>1</v>
      </c>
      <c r="I47" s="39">
        <f t="shared" si="18"/>
        <v>0</v>
      </c>
      <c r="J47" s="38">
        <f t="shared" si="19"/>
        <v>0</v>
      </c>
      <c r="K47" s="40">
        <f t="shared" si="20"/>
        <v>0</v>
      </c>
      <c r="L47" s="22">
        <f t="shared" si="21"/>
        <v>0</v>
      </c>
      <c r="M47" s="24">
        <f t="shared" si="22"/>
        <v>0</v>
      </c>
      <c r="N47" s="2"/>
      <c r="O47" s="2"/>
      <c r="P47" s="2"/>
      <c r="Q47" s="56"/>
      <c r="R47" s="56"/>
      <c r="S47" s="56"/>
      <c r="T47" s="56"/>
      <c r="U47" s="56"/>
      <c r="V47" s="56"/>
      <c r="W47" s="109"/>
      <c r="X47" s="117"/>
      <c r="Y47" s="109"/>
      <c r="Z47" s="115">
        <v>0.25</v>
      </c>
      <c r="AA47" s="146">
        <f t="shared" si="30"/>
        <v>0</v>
      </c>
      <c r="AB47" s="115">
        <v>0.25</v>
      </c>
      <c r="AC47" s="146">
        <f t="shared" si="31"/>
        <v>0</v>
      </c>
      <c r="AD47" s="115">
        <v>0.25</v>
      </c>
      <c r="AE47" s="146">
        <f t="shared" si="32"/>
        <v>0</v>
      </c>
      <c r="AF47" s="121">
        <f t="shared" si="23"/>
        <v>0.25</v>
      </c>
      <c r="AG47" s="146">
        <f t="shared" si="26"/>
        <v>0</v>
      </c>
      <c r="AH47" s="122">
        <f t="shared" si="34"/>
        <v>1</v>
      </c>
      <c r="AI47" s="111">
        <f t="shared" si="34"/>
        <v>0</v>
      </c>
      <c r="AJ47" s="147">
        <f t="shared" si="28"/>
        <v>0</v>
      </c>
      <c r="AK47" s="146">
        <f t="shared" si="2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5" ht="14" customHeight="1">
      <c r="A48" s="85" t="str">
        <f>IF([1]Summ!$A1083="","",[1]Summ!$A1083)</f>
        <v/>
      </c>
      <c r="B48" s="217">
        <f>IF([1]Summ!E1083="",0,[1]Summ!E1083)</f>
        <v>0</v>
      </c>
      <c r="C48" s="217">
        <f>IF([1]Summ!F1083="",0,[1]Summ!F1083)</f>
        <v>0</v>
      </c>
      <c r="D48" s="38">
        <f t="shared" si="24"/>
        <v>0</v>
      </c>
      <c r="E48" s="26">
        <v>1</v>
      </c>
      <c r="F48" s="26">
        <v>1</v>
      </c>
      <c r="G48" s="22">
        <f t="shared" si="25"/>
        <v>1.1200000000000001</v>
      </c>
      <c r="H48" s="24">
        <f t="shared" si="17"/>
        <v>1</v>
      </c>
      <c r="I48" s="39">
        <f t="shared" si="18"/>
        <v>0</v>
      </c>
      <c r="J48" s="38">
        <f t="shared" si="19"/>
        <v>0</v>
      </c>
      <c r="K48" s="40">
        <f t="shared" si="20"/>
        <v>0</v>
      </c>
      <c r="L48" s="22">
        <f t="shared" si="21"/>
        <v>0</v>
      </c>
      <c r="M48" s="24">
        <f t="shared" si="22"/>
        <v>0</v>
      </c>
      <c r="N48" s="2"/>
      <c r="O48" s="2"/>
      <c r="P48" s="2"/>
      <c r="Q48" s="56"/>
      <c r="R48" s="56"/>
      <c r="S48" s="56"/>
      <c r="T48" s="56"/>
      <c r="U48" s="56"/>
      <c r="V48" s="56"/>
      <c r="W48" s="109"/>
      <c r="X48" s="117"/>
      <c r="Y48" s="109"/>
      <c r="Z48" s="115">
        <v>0.25</v>
      </c>
      <c r="AA48" s="146">
        <f t="shared" si="30"/>
        <v>0</v>
      </c>
      <c r="AB48" s="115">
        <v>0.25</v>
      </c>
      <c r="AC48" s="146">
        <f t="shared" si="31"/>
        <v>0</v>
      </c>
      <c r="AD48" s="115">
        <v>0.25</v>
      </c>
      <c r="AE48" s="146">
        <f t="shared" si="32"/>
        <v>0</v>
      </c>
      <c r="AF48" s="121">
        <f t="shared" si="23"/>
        <v>0.25</v>
      </c>
      <c r="AG48" s="146">
        <f t="shared" si="26"/>
        <v>0</v>
      </c>
      <c r="AH48" s="122">
        <f t="shared" si="34"/>
        <v>1</v>
      </c>
      <c r="AI48" s="111">
        <f t="shared" si="34"/>
        <v>0</v>
      </c>
      <c r="AJ48" s="147">
        <f t="shared" si="28"/>
        <v>0</v>
      </c>
      <c r="AK48" s="146">
        <f t="shared" si="2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7">
        <f>IF([1]Summ!E1084="",0,[1]Summ!E1084)</f>
        <v>0</v>
      </c>
      <c r="C49" s="217">
        <f>IF([1]Summ!F1084="",0,[1]Summ!F1084)</f>
        <v>0</v>
      </c>
      <c r="D49" s="38">
        <f t="shared" si="24"/>
        <v>0</v>
      </c>
      <c r="E49" s="26">
        <v>1</v>
      </c>
      <c r="F49" s="26">
        <v>1</v>
      </c>
      <c r="G49" s="22">
        <f t="shared" si="25"/>
        <v>1.1200000000000001</v>
      </c>
      <c r="H49" s="24">
        <f t="shared" si="17"/>
        <v>1</v>
      </c>
      <c r="I49" s="39">
        <f t="shared" si="18"/>
        <v>0</v>
      </c>
      <c r="J49" s="38">
        <f t="shared" si="19"/>
        <v>0</v>
      </c>
      <c r="K49" s="40">
        <f t="shared" si="20"/>
        <v>0</v>
      </c>
      <c r="L49" s="22">
        <f t="shared" si="21"/>
        <v>0</v>
      </c>
      <c r="M49" s="24">
        <f t="shared" si="22"/>
        <v>0</v>
      </c>
      <c r="N49" s="2"/>
      <c r="O49" s="2"/>
      <c r="P49" s="2"/>
      <c r="Q49" s="56"/>
      <c r="R49" s="56"/>
      <c r="S49" s="56"/>
      <c r="T49" s="56"/>
      <c r="U49" s="56"/>
      <c r="V49" s="56"/>
      <c r="W49" s="109"/>
      <c r="X49" s="117"/>
      <c r="Y49" s="109"/>
      <c r="Z49" s="115">
        <v>0.25</v>
      </c>
      <c r="AA49" s="146">
        <f t="shared" si="30"/>
        <v>0</v>
      </c>
      <c r="AB49" s="115">
        <v>0.25</v>
      </c>
      <c r="AC49" s="146">
        <f t="shared" si="31"/>
        <v>0</v>
      </c>
      <c r="AD49" s="115">
        <v>0.25</v>
      </c>
      <c r="AE49" s="146">
        <f t="shared" si="32"/>
        <v>0</v>
      </c>
      <c r="AF49" s="121">
        <f t="shared" si="23"/>
        <v>0.25</v>
      </c>
      <c r="AG49" s="146">
        <f t="shared" si="26"/>
        <v>0</v>
      </c>
      <c r="AH49" s="122">
        <f t="shared" si="34"/>
        <v>1</v>
      </c>
      <c r="AI49" s="111">
        <f t="shared" si="34"/>
        <v>0</v>
      </c>
      <c r="AJ49" s="147">
        <f t="shared" si="28"/>
        <v>0</v>
      </c>
      <c r="AK49" s="146">
        <f t="shared" si="2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7">
        <f>IF([1]Summ!E1085="",0,[1]Summ!E1085)</f>
        <v>0</v>
      </c>
      <c r="C50" s="217">
        <f>IF([1]Summ!F1085="",0,[1]Summ!F1085)</f>
        <v>0</v>
      </c>
      <c r="D50" s="38">
        <f t="shared" si="24"/>
        <v>0</v>
      </c>
      <c r="E50" s="26">
        <v>1</v>
      </c>
      <c r="F50" s="26">
        <v>1</v>
      </c>
      <c r="G50" s="22">
        <f t="shared" si="25"/>
        <v>1.1200000000000001</v>
      </c>
      <c r="H50" s="24">
        <f t="shared" si="17"/>
        <v>1</v>
      </c>
      <c r="I50" s="39">
        <f t="shared" si="18"/>
        <v>0</v>
      </c>
      <c r="J50" s="38">
        <f t="shared" si="19"/>
        <v>0</v>
      </c>
      <c r="K50" s="40">
        <f t="shared" si="20"/>
        <v>0</v>
      </c>
      <c r="L50" s="22">
        <f t="shared" si="21"/>
        <v>0</v>
      </c>
      <c r="M50" s="24">
        <f t="shared" si="22"/>
        <v>0</v>
      </c>
      <c r="N50" s="2"/>
      <c r="O50" s="2"/>
      <c r="P50" s="2"/>
      <c r="Q50" s="56"/>
      <c r="R50" s="56"/>
      <c r="S50" s="56"/>
      <c r="T50" s="56"/>
      <c r="U50" s="56"/>
      <c r="V50" s="56"/>
      <c r="W50" s="109"/>
      <c r="X50" s="117"/>
      <c r="Y50" s="109"/>
      <c r="Z50" s="115">
        <v>0.25</v>
      </c>
      <c r="AA50" s="146">
        <f t="shared" si="30"/>
        <v>0</v>
      </c>
      <c r="AB50" s="115">
        <v>0.25</v>
      </c>
      <c r="AC50" s="146">
        <f t="shared" si="31"/>
        <v>0</v>
      </c>
      <c r="AD50" s="115">
        <v>0.25</v>
      </c>
      <c r="AE50" s="146">
        <f t="shared" si="32"/>
        <v>0</v>
      </c>
      <c r="AF50" s="121">
        <f t="shared" si="23"/>
        <v>0.25</v>
      </c>
      <c r="AG50" s="146">
        <f t="shared" si="26"/>
        <v>0</v>
      </c>
      <c r="AH50" s="122">
        <f t="shared" si="34"/>
        <v>1</v>
      </c>
      <c r="AI50" s="111">
        <f t="shared" si="34"/>
        <v>0</v>
      </c>
      <c r="AJ50" s="147">
        <f t="shared" si="28"/>
        <v>0</v>
      </c>
      <c r="AK50" s="146">
        <f t="shared" si="2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7">
        <f>IF([1]Summ!E1086="",0,[1]Summ!E1086)</f>
        <v>0</v>
      </c>
      <c r="C51" s="217">
        <f>IF([1]Summ!F1086="",0,[1]Summ!F1086)</f>
        <v>0</v>
      </c>
      <c r="D51" s="38">
        <f t="shared" si="24"/>
        <v>0</v>
      </c>
      <c r="E51" s="26">
        <v>1</v>
      </c>
      <c r="F51" s="26">
        <v>1</v>
      </c>
      <c r="G51" s="22">
        <f t="shared" si="25"/>
        <v>1.1200000000000001</v>
      </c>
      <c r="H51" s="24">
        <f t="shared" si="17"/>
        <v>1</v>
      </c>
      <c r="I51" s="39">
        <f t="shared" si="18"/>
        <v>0</v>
      </c>
      <c r="J51" s="38">
        <f t="shared" si="19"/>
        <v>0</v>
      </c>
      <c r="K51" s="40">
        <f t="shared" si="20"/>
        <v>0</v>
      </c>
      <c r="L51" s="22">
        <f t="shared" si="21"/>
        <v>0</v>
      </c>
      <c r="M51" s="24">
        <f t="shared" si="22"/>
        <v>0</v>
      </c>
      <c r="N51" s="2"/>
      <c r="O51" s="2"/>
      <c r="P51" s="2"/>
      <c r="Q51" s="56"/>
      <c r="R51" s="56"/>
      <c r="S51" s="56"/>
      <c r="T51" s="56"/>
      <c r="U51" s="56"/>
      <c r="V51" s="56"/>
      <c r="W51" s="109"/>
      <c r="X51" s="117"/>
      <c r="Y51" s="109"/>
      <c r="Z51" s="115">
        <v>0.25</v>
      </c>
      <c r="AA51" s="148">
        <f t="shared" si="30"/>
        <v>0</v>
      </c>
      <c r="AB51" s="115">
        <v>0.25</v>
      </c>
      <c r="AC51" s="148">
        <f t="shared" si="31"/>
        <v>0</v>
      </c>
      <c r="AD51" s="115">
        <v>0.25</v>
      </c>
      <c r="AE51" s="148">
        <f t="shared" si="32"/>
        <v>0</v>
      </c>
      <c r="AF51" s="149">
        <f t="shared" si="23"/>
        <v>0.25</v>
      </c>
      <c r="AG51" s="148">
        <f t="shared" si="26"/>
        <v>0</v>
      </c>
      <c r="AH51" s="122">
        <f t="shared" si="34"/>
        <v>1</v>
      </c>
      <c r="AI51" s="111">
        <f t="shared" si="34"/>
        <v>0</v>
      </c>
      <c r="AJ51" s="150">
        <f t="shared" si="28"/>
        <v>0</v>
      </c>
      <c r="AK51" s="148">
        <f t="shared" si="2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41" t="s">
        <v>32</v>
      </c>
      <c r="B52" s="41">
        <f>SUM(B29:B51)</f>
        <v>43771.660854402784</v>
      </c>
      <c r="C52" s="41">
        <f>SUM(C29:C51)</f>
        <v>1758</v>
      </c>
      <c r="D52" s="42">
        <f>SUM(D29:D51)</f>
        <v>45529.660854402784</v>
      </c>
      <c r="E52" s="32"/>
      <c r="F52" s="32"/>
      <c r="G52" s="32"/>
      <c r="H52" s="31"/>
      <c r="I52" s="39">
        <f>SUM(I29:I51)</f>
        <v>48910.161048387097</v>
      </c>
      <c r="J52" s="39">
        <f>SUM(J29:J51)</f>
        <v>48910.161048387105</v>
      </c>
      <c r="K52" s="40">
        <f>SUM(K29:K51)</f>
        <v>1</v>
      </c>
      <c r="L52" s="22">
        <f>SUM(L29:L51)</f>
        <v>1.0783543536397326</v>
      </c>
      <c r="M52" s="24">
        <f>SUM(M29:M51)</f>
        <v>1.1173933109615479</v>
      </c>
      <c r="N52" s="2"/>
      <c r="O52" s="2"/>
      <c r="P52" s="2"/>
      <c r="Q52" s="56"/>
      <c r="R52" s="56"/>
      <c r="S52" s="56"/>
      <c r="T52" s="56"/>
      <c r="U52" s="56"/>
      <c r="V52" s="56"/>
      <c r="W52" s="109"/>
      <c r="X52" s="151"/>
      <c r="Y52" s="109"/>
      <c r="Z52" s="136"/>
      <c r="AA52" s="152">
        <f>SUM(AA29:AA51)</f>
        <v>11336.954143451914</v>
      </c>
      <c r="AB52" s="136"/>
      <c r="AC52" s="152">
        <f>SUM(AC29:AC51)</f>
        <v>9504.4358287026644</v>
      </c>
      <c r="AD52" s="136"/>
      <c r="AE52" s="152">
        <f>SUM(AE29:AE51)</f>
        <v>12978.705814135748</v>
      </c>
      <c r="AF52" s="136"/>
      <c r="AG52" s="152">
        <f>SUM(AG29:AG51)</f>
        <v>15090.065262096776</v>
      </c>
      <c r="AH52" s="136"/>
      <c r="AI52" s="152">
        <f>SUM(AI29:AI51)</f>
        <v>48910.161048387105</v>
      </c>
      <c r="AJ52" s="152">
        <f>SUM(AJ29:AJ51)</f>
        <v>20841.389972154579</v>
      </c>
      <c r="AK52" s="152">
        <f>SUM(AK29:AK51)</f>
        <v>28068.771076232526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3.5" customHeight="1">
      <c r="A53" s="43"/>
      <c r="B53" s="43"/>
      <c r="C53" s="43"/>
      <c r="D53" s="44"/>
      <c r="E53" s="14"/>
      <c r="F53" s="14"/>
      <c r="G53" s="14"/>
      <c r="H53" s="44"/>
      <c r="I53" s="14"/>
      <c r="J53" s="44"/>
      <c r="K53" s="45"/>
      <c r="L53" s="11"/>
      <c r="M53" s="10"/>
      <c r="N53" s="2"/>
      <c r="O53" s="2"/>
      <c r="P53" s="2"/>
      <c r="Q53" s="56"/>
      <c r="R53" s="56"/>
      <c r="S53" s="56"/>
      <c r="T53" s="56"/>
      <c r="U53" s="56"/>
      <c r="V53" s="56"/>
      <c r="W53" s="109"/>
      <c r="X53" s="117"/>
      <c r="Y53" s="109"/>
      <c r="Z53" s="142"/>
      <c r="AA53" s="153"/>
      <c r="AB53" s="142"/>
      <c r="AC53" s="153"/>
      <c r="AD53" s="142"/>
      <c r="AE53" s="153"/>
      <c r="AF53" s="142"/>
      <c r="AG53" s="153"/>
      <c r="AH53" s="142"/>
      <c r="AI53" s="153"/>
      <c r="AJ53" s="142"/>
      <c r="AK53" s="143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5.75" customHeight="1">
      <c r="A54" s="15" t="s">
        <v>33</v>
      </c>
      <c r="B54" s="46"/>
      <c r="C54" s="46"/>
      <c r="D54" s="38"/>
      <c r="E54" s="32"/>
      <c r="F54" s="32"/>
      <c r="G54" s="32"/>
      <c r="H54" s="31"/>
      <c r="I54" s="47"/>
      <c r="J54" s="48"/>
      <c r="K54" s="34" t="s">
        <v>34</v>
      </c>
      <c r="L54" s="2"/>
      <c r="M54" s="31"/>
      <c r="N54" s="2"/>
      <c r="O54" s="2"/>
      <c r="P54" s="2"/>
      <c r="Q54" s="56"/>
      <c r="R54" s="56"/>
      <c r="S54" s="56"/>
      <c r="T54" s="56"/>
      <c r="U54" s="56"/>
      <c r="V54" s="56"/>
      <c r="W54" s="109"/>
      <c r="X54" s="117"/>
      <c r="Y54" s="109"/>
      <c r="Z54" s="144"/>
      <c r="AA54" s="146"/>
      <c r="AB54" s="144"/>
      <c r="AC54" s="146"/>
      <c r="AD54" s="144"/>
      <c r="AE54" s="146"/>
      <c r="AF54" s="144"/>
      <c r="AG54" s="146"/>
      <c r="AH54" s="144"/>
      <c r="AI54" s="146"/>
      <c r="AJ54" s="144"/>
      <c r="AK54" s="145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49"/>
      <c r="B55" s="46" t="s">
        <v>7</v>
      </c>
      <c r="C55" s="46"/>
      <c r="D55" s="50"/>
      <c r="E55" s="19" t="s">
        <v>10</v>
      </c>
      <c r="F55" s="2" t="s">
        <v>28</v>
      </c>
      <c r="G55" s="2"/>
      <c r="H55" s="16" t="s">
        <v>12</v>
      </c>
      <c r="I55" s="19" t="s">
        <v>13</v>
      </c>
      <c r="J55" s="16" t="s">
        <v>14</v>
      </c>
      <c r="K55" s="37" t="s">
        <v>7</v>
      </c>
      <c r="L55" s="19" t="s">
        <v>15</v>
      </c>
      <c r="M55" s="16" t="s">
        <v>14</v>
      </c>
      <c r="N55" s="2"/>
      <c r="O55" s="2"/>
      <c r="P55" s="2"/>
      <c r="Q55" s="56"/>
      <c r="R55" s="56"/>
      <c r="S55" s="56"/>
      <c r="T55" s="56"/>
      <c r="U55" s="56"/>
      <c r="V55" s="56"/>
      <c r="W55" s="111"/>
      <c r="X55" s="117"/>
      <c r="Y55" s="109"/>
      <c r="Z55" s="144"/>
      <c r="AA55" s="146"/>
      <c r="AB55" s="144"/>
      <c r="AC55" s="146"/>
      <c r="AD55" s="144"/>
      <c r="AE55" s="146"/>
      <c r="AF55" s="144"/>
      <c r="AG55" s="146"/>
      <c r="AH55" s="144"/>
      <c r="AI55" s="146"/>
      <c r="AJ55" s="144"/>
      <c r="AK55" s="145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46" t="s">
        <v>30</v>
      </c>
      <c r="B56" s="46" t="s">
        <v>35</v>
      </c>
      <c r="C56" s="46"/>
      <c r="D56" s="38"/>
      <c r="E56" s="19" t="s">
        <v>18</v>
      </c>
      <c r="F56" s="2" t="s">
        <v>31</v>
      </c>
      <c r="G56" s="2"/>
      <c r="H56" s="16" t="s">
        <v>18</v>
      </c>
      <c r="I56" s="19" t="s">
        <v>35</v>
      </c>
      <c r="J56" s="16" t="s">
        <v>35</v>
      </c>
      <c r="K56" s="37" t="s">
        <v>35</v>
      </c>
      <c r="L56" s="19" t="s">
        <v>19</v>
      </c>
      <c r="M56" s="16" t="s">
        <v>35</v>
      </c>
      <c r="N56" s="2"/>
      <c r="O56" s="2"/>
      <c r="P56" s="2"/>
      <c r="Q56" s="56"/>
      <c r="R56" s="56"/>
      <c r="S56" s="56"/>
      <c r="T56" s="56"/>
      <c r="U56" s="56"/>
      <c r="V56" s="56"/>
      <c r="W56" s="109"/>
      <c r="X56" s="117"/>
      <c r="Y56" s="109"/>
      <c r="Z56" s="144"/>
      <c r="AA56" s="146"/>
      <c r="AB56" s="144"/>
      <c r="AC56" s="146"/>
      <c r="AD56" s="144"/>
      <c r="AE56" s="146"/>
      <c r="AF56" s="144"/>
      <c r="AG56" s="146"/>
      <c r="AH56" s="144"/>
      <c r="AI56" s="146"/>
      <c r="AJ56" s="144"/>
      <c r="AK56" s="145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109" t="s">
        <v>132</v>
      </c>
      <c r="B57" s="237">
        <f>[1]Summ!$E1031</f>
        <v>15229.163962455043</v>
      </c>
      <c r="C57" s="46"/>
      <c r="D57" s="38"/>
      <c r="E57" s="26">
        <v>1</v>
      </c>
      <c r="F57" s="26">
        <v>1.1399999999999999</v>
      </c>
      <c r="G57" s="22"/>
      <c r="H57" s="24">
        <f>(E57*F57)</f>
        <v>1.1399999999999999</v>
      </c>
      <c r="I57" s="39">
        <f>I106*I$70</f>
        <v>17361.246917198747</v>
      </c>
      <c r="J57" s="51">
        <f>J106*I$70</f>
        <v>17361.246917198747</v>
      </c>
      <c r="K57" s="40">
        <f t="shared" ref="K57:K62" si="35">B57/B$63</f>
        <v>0.34792291782374102</v>
      </c>
      <c r="L57" s="22">
        <f t="shared" ref="L57:L62" si="36">(L106*G$29*F$9/F$7)/B$112</f>
        <v>0.39663212631906469</v>
      </c>
      <c r="M57" s="24">
        <f t="shared" ref="M57:M62" si="37">J57/B$63</f>
        <v>0.39663212631906475</v>
      </c>
      <c r="N57" s="2"/>
      <c r="O57" s="2"/>
      <c r="P57" s="2"/>
      <c r="Q57" s="56"/>
      <c r="R57" s="56"/>
      <c r="S57" s="56"/>
      <c r="T57" s="56"/>
      <c r="U57" s="56"/>
      <c r="V57" s="56"/>
      <c r="W57" s="109"/>
      <c r="X57" s="117"/>
      <c r="Y57" s="109"/>
      <c r="Z57" s="115">
        <v>0.25</v>
      </c>
      <c r="AA57" s="146">
        <f>$J57*Z57</f>
        <v>4340.3117292996867</v>
      </c>
      <c r="AB57" s="115">
        <v>0.25</v>
      </c>
      <c r="AC57" s="146">
        <f>$J57*AB57</f>
        <v>4340.3117292996867</v>
      </c>
      <c r="AD57" s="115">
        <v>0.25</v>
      </c>
      <c r="AE57" s="146">
        <f>$J57*AD57</f>
        <v>4340.3117292996867</v>
      </c>
      <c r="AF57" s="121">
        <f>1-SUM(Z57,AB57,AD57)</f>
        <v>0.25</v>
      </c>
      <c r="AG57" s="146">
        <f>$J57*AF57</f>
        <v>4340.3117292996867</v>
      </c>
      <c r="AH57" s="154">
        <f>SUM(Z57,AB57,AD57,AF57)</f>
        <v>1</v>
      </c>
      <c r="AI57" s="146">
        <f>SUM(AA57,AC57,AE57,AG57)</f>
        <v>17361.246917198747</v>
      </c>
      <c r="AJ57" s="147">
        <f>(AA57+AC57)</f>
        <v>8680.6234585993734</v>
      </c>
      <c r="AK57" s="146">
        <f>(AE57+AG57)</f>
        <v>8680.6234585993734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3.5" customHeight="1">
      <c r="A58" s="109" t="s">
        <v>133</v>
      </c>
      <c r="B58" s="237">
        <f>[1]Summ!$E1032</f>
        <v>11684</v>
      </c>
      <c r="C58" s="46"/>
      <c r="D58" s="38"/>
      <c r="E58" s="26">
        <v>1</v>
      </c>
      <c r="F58" s="26">
        <v>1.1100000000000001</v>
      </c>
      <c r="G58" s="22"/>
      <c r="H58" s="24">
        <f>(E58*F58)</f>
        <v>1.1100000000000001</v>
      </c>
      <c r="I58" s="39">
        <f>I107*I$70</f>
        <v>12969.240000000003</v>
      </c>
      <c r="J58" s="51">
        <f>J107*I$70</f>
        <v>12969.240000000003</v>
      </c>
      <c r="K58" s="40">
        <f t="shared" si="35"/>
        <v>0.26693069835445282</v>
      </c>
      <c r="L58" s="22">
        <f t="shared" si="36"/>
        <v>0.29629307517344267</v>
      </c>
      <c r="M58" s="24">
        <f t="shared" si="37"/>
        <v>0.29629307517344272</v>
      </c>
      <c r="O58" s="2"/>
      <c r="P58" s="2"/>
      <c r="Q58" s="56"/>
      <c r="R58" s="56"/>
      <c r="S58" s="56"/>
      <c r="T58" s="56"/>
      <c r="U58" s="56"/>
      <c r="V58" s="56"/>
      <c r="W58" s="109"/>
      <c r="X58" s="117"/>
      <c r="Y58" s="109"/>
      <c r="Z58" s="115">
        <v>0.09</v>
      </c>
      <c r="AA58" s="146">
        <f>$H$58*$B$58*Z58</f>
        <v>1167.2316000000001</v>
      </c>
      <c r="AB58" s="115">
        <v>0.09</v>
      </c>
      <c r="AC58" s="146">
        <f>$H$58*$B$58*AB58</f>
        <v>1167.2316000000001</v>
      </c>
      <c r="AD58" s="115">
        <v>0.23</v>
      </c>
      <c r="AE58" s="146">
        <f>$H$58*$B$58*AD58</f>
        <v>2982.9252000000006</v>
      </c>
      <c r="AF58" s="121">
        <f>1-SUM(Z58,AB58,AD58)</f>
        <v>0.59</v>
      </c>
      <c r="AG58" s="146">
        <f>$H$58*$B$58*AF58</f>
        <v>7651.8516000000009</v>
      </c>
      <c r="AH58" s="154">
        <f>SUM(Z58,AB58,AD58,AF58)</f>
        <v>1</v>
      </c>
      <c r="AI58" s="146">
        <f>SUM(AA58,AC58,AE58,AG58)</f>
        <v>12969.240000000002</v>
      </c>
      <c r="AJ58" s="147">
        <f>(AA58+AC58)</f>
        <v>2334.4632000000001</v>
      </c>
      <c r="AK58" s="146">
        <f>(AE58+AG58)</f>
        <v>10634.776800000001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3.5" customHeight="1">
      <c r="A59" s="109" t="s">
        <v>134</v>
      </c>
      <c r="B59" s="237">
        <f>[1]Summ!$E1033</f>
        <v>20808</v>
      </c>
      <c r="C59" s="46"/>
      <c r="D59" s="38"/>
      <c r="E59" s="26">
        <v>1</v>
      </c>
      <c r="F59" s="26">
        <v>1.1100000000000001</v>
      </c>
      <c r="G59" s="22"/>
      <c r="H59" s="24">
        <f>(E59*F59)</f>
        <v>1.1100000000000001</v>
      </c>
      <c r="I59" s="39">
        <f t="shared" ref="I59:I60" si="38">I108*I$70</f>
        <v>0</v>
      </c>
      <c r="J59" s="51">
        <f t="shared" ref="J59:J60" si="39">J108*I$70</f>
        <v>15759.49411432914</v>
      </c>
      <c r="K59" s="40">
        <f t="shared" si="35"/>
        <v>0.47537606738783417</v>
      </c>
      <c r="L59" s="22">
        <f t="shared" si="36"/>
        <v>0.27113993209724135</v>
      </c>
      <c r="M59" s="24">
        <f t="shared" si="37"/>
        <v>0.36003875125391699</v>
      </c>
      <c r="O59" s="2"/>
      <c r="P59" s="2"/>
      <c r="Q59" s="56"/>
      <c r="R59" s="56"/>
      <c r="S59" s="56"/>
      <c r="T59" s="56"/>
      <c r="U59" s="56"/>
      <c r="V59" s="56"/>
      <c r="W59" s="109"/>
      <c r="X59" s="117"/>
      <c r="Y59" s="109"/>
      <c r="Z59" s="115"/>
      <c r="AA59" s="146"/>
      <c r="AB59" s="115"/>
      <c r="AC59" s="146"/>
      <c r="AD59" s="115"/>
      <c r="AE59" s="146"/>
      <c r="AF59" s="121"/>
      <c r="AG59" s="146"/>
      <c r="AH59" s="154"/>
      <c r="AI59" s="146"/>
      <c r="AJ59" s="147"/>
      <c r="AK59" s="146"/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3.5" customHeight="1">
      <c r="A60" s="109" t="s">
        <v>135</v>
      </c>
      <c r="B60" s="237">
        <f>[1]Summ!$E1034</f>
        <v>2550</v>
      </c>
      <c r="C60" s="46"/>
      <c r="D60" s="38"/>
      <c r="E60" s="26">
        <v>1</v>
      </c>
      <c r="F60" s="26">
        <v>1.1100000000000001</v>
      </c>
      <c r="G60" s="22"/>
      <c r="H60" s="24">
        <f>(E60*F60)</f>
        <v>1.1100000000000001</v>
      </c>
      <c r="I60" s="39">
        <f t="shared" si="38"/>
        <v>0</v>
      </c>
      <c r="J60" s="51">
        <f t="shared" si="39"/>
        <v>0</v>
      </c>
      <c r="K60" s="40">
        <f t="shared" si="35"/>
        <v>5.8256871003411051E-2</v>
      </c>
      <c r="L60" s="22">
        <f t="shared" si="36"/>
        <v>0</v>
      </c>
      <c r="M60" s="24">
        <f t="shared" si="37"/>
        <v>0</v>
      </c>
      <c r="O60" s="2"/>
      <c r="P60" s="2"/>
      <c r="Q60" s="56"/>
      <c r="R60" s="56"/>
      <c r="S60" s="56"/>
      <c r="T60" s="56"/>
      <c r="U60" s="56"/>
      <c r="V60" s="56"/>
      <c r="W60" s="109"/>
      <c r="X60" s="117"/>
      <c r="Y60" s="109"/>
      <c r="Z60" s="115"/>
      <c r="AA60" s="146"/>
      <c r="AB60" s="115"/>
      <c r="AC60" s="146"/>
      <c r="AD60" s="115"/>
      <c r="AE60" s="146"/>
      <c r="AF60" s="121"/>
      <c r="AG60" s="146"/>
      <c r="AH60" s="154"/>
      <c r="AI60" s="146"/>
      <c r="AJ60" s="147"/>
      <c r="AK60" s="146"/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1" t="s">
        <v>141</v>
      </c>
      <c r="B61" s="52">
        <f>B22*B70</f>
        <v>4785.0863259668513</v>
      </c>
      <c r="C61" s="46"/>
      <c r="D61" s="38"/>
      <c r="E61" s="32"/>
      <c r="F61" s="32"/>
      <c r="G61" s="32"/>
      <c r="H61" s="31"/>
      <c r="I61" s="39">
        <f>I110*I$70</f>
        <v>18579.674131188352</v>
      </c>
      <c r="J61" s="51">
        <f>J110*I$70</f>
        <v>2820.1800168592099</v>
      </c>
      <c r="K61" s="40">
        <f t="shared" si="35"/>
        <v>0.1093192771890341</v>
      </c>
      <c r="L61" s="22">
        <f t="shared" si="36"/>
        <v>0.11428922004998378</v>
      </c>
      <c r="M61" s="24">
        <f t="shared" si="37"/>
        <v>6.442935821512337E-2</v>
      </c>
      <c r="O61" s="2"/>
      <c r="P61" s="2"/>
      <c r="Q61" s="56"/>
      <c r="R61" s="56"/>
      <c r="S61" s="56"/>
      <c r="T61" s="56"/>
      <c r="U61" s="56"/>
      <c r="V61" s="56"/>
      <c r="W61" s="109"/>
      <c r="X61" s="117"/>
      <c r="Y61" s="109"/>
      <c r="Z61" s="155"/>
      <c r="AA61" s="146">
        <f>AA22*$I$70/4</f>
        <v>0</v>
      </c>
      <c r="AB61" s="155"/>
      <c r="AC61" s="146">
        <f>AC22*$I$70/4</f>
        <v>0</v>
      </c>
      <c r="AD61" s="155"/>
      <c r="AE61" s="146">
        <f>AE22*$I$70/4</f>
        <v>34.3536300064183</v>
      </c>
      <c r="AF61" s="155"/>
      <c r="AG61" s="146">
        <f>AG22*$I$70/4</f>
        <v>735.04513529149517</v>
      </c>
      <c r="AH61" s="154"/>
      <c r="AI61" s="146">
        <f>SUM(AA61,AC61,AE61,AG61)</f>
        <v>769.39876529791343</v>
      </c>
      <c r="AJ61" s="147">
        <f>(AA61+AC61)</f>
        <v>0</v>
      </c>
      <c r="AK61" s="146">
        <f>(AE61+AG61)</f>
        <v>769.39876529791343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1" t="s">
        <v>56</v>
      </c>
      <c r="B62" s="52">
        <f>B63-B57-B58-B59-B60-B61</f>
        <v>-11284.589434019112</v>
      </c>
      <c r="C62" s="46"/>
      <c r="D62" s="38"/>
      <c r="E62" s="32"/>
      <c r="F62" s="32"/>
      <c r="G62" s="32"/>
      <c r="H62" s="31"/>
      <c r="I62" s="47"/>
      <c r="J62" s="51">
        <f>J111*I$70</f>
        <v>0</v>
      </c>
      <c r="K62" s="40">
        <f t="shared" si="35"/>
        <v>-0.25780583175847321</v>
      </c>
      <c r="L62" s="22">
        <f t="shared" si="36"/>
        <v>0</v>
      </c>
      <c r="M62" s="24">
        <f t="shared" si="37"/>
        <v>0</v>
      </c>
      <c r="O62" s="2"/>
      <c r="P62" s="2"/>
      <c r="Q62" s="56"/>
      <c r="R62" s="56"/>
      <c r="S62" s="56"/>
      <c r="T62" s="56"/>
      <c r="U62" s="56"/>
      <c r="V62" s="56"/>
      <c r="W62" s="109"/>
      <c r="X62" s="156"/>
      <c r="Y62" s="160" t="s">
        <v>105</v>
      </c>
      <c r="Z62" s="157"/>
      <c r="AA62" s="148">
        <f>AA66-AA61</f>
        <v>17011.350811657823</v>
      </c>
      <c r="AB62" s="157"/>
      <c r="AC62" s="148">
        <f>AA62+AC52-SUM(AC57,AC61)</f>
        <v>22175.474911060799</v>
      </c>
      <c r="AD62" s="157"/>
      <c r="AE62" s="148">
        <f>AC62+AE52-SUM(AE57,AE61)</f>
        <v>30779.515365890446</v>
      </c>
      <c r="AF62" s="157"/>
      <c r="AG62" s="148">
        <f>IF(SUM(AG6:AG21)+((AG52-AG57-$J$62)*4/I$70)&lt;1,0,AG52-AG57-$J$62-(1-SUM(AG6:AG21))*I$70/4)</f>
        <v>10014.708397505594</v>
      </c>
      <c r="AH62" s="133"/>
      <c r="AI62" s="148">
        <f>AI63-SUM(AI57,AI61)</f>
        <v>30779.515365890446</v>
      </c>
      <c r="AJ62" s="150">
        <f>AJ63-SUM(AJ57,AJ61)</f>
        <v>12160.766513555205</v>
      </c>
      <c r="AK62" s="148">
        <f>AJ62+AK63-SUM(AK57,AK61)</f>
        <v>30779.515365890438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 thickBot="1">
      <c r="A63" s="1" t="s">
        <v>32</v>
      </c>
      <c r="B63" s="52">
        <f>B52</f>
        <v>43771.660854402784</v>
      </c>
      <c r="C63" s="46"/>
      <c r="D63" s="38"/>
      <c r="E63" s="32"/>
      <c r="F63" s="32"/>
      <c r="G63" s="32"/>
      <c r="H63" s="31"/>
      <c r="I63" s="39">
        <f>I112*I$70</f>
        <v>48910.161048387105</v>
      </c>
      <c r="J63" s="51">
        <f>J112*I$70</f>
        <v>48910.161048387105</v>
      </c>
      <c r="K63" s="40">
        <f>SUM(K57:K62)</f>
        <v>1</v>
      </c>
      <c r="L63" s="22">
        <f>SUM(L57:L62)</f>
        <v>1.0783543536397326</v>
      </c>
      <c r="M63" s="24">
        <f>SUM(M57:M62)</f>
        <v>1.1173933109615479</v>
      </c>
      <c r="O63" s="2"/>
      <c r="P63" s="2"/>
      <c r="Q63" s="56"/>
      <c r="R63" s="56"/>
      <c r="S63" s="56"/>
      <c r="T63" s="56"/>
      <c r="U63" s="56"/>
      <c r="V63" s="56"/>
      <c r="W63" s="109"/>
      <c r="X63" s="190"/>
      <c r="Y63" s="190"/>
      <c r="Z63" s="136"/>
      <c r="AA63" s="153">
        <f>AA52</f>
        <v>11336.954143451914</v>
      </c>
      <c r="AB63" s="136"/>
      <c r="AC63" s="152">
        <f>AC52</f>
        <v>9504.4358287026644</v>
      </c>
      <c r="AD63" s="136"/>
      <c r="AE63" s="152">
        <f>AE52</f>
        <v>12978.705814135748</v>
      </c>
      <c r="AF63" s="136"/>
      <c r="AG63" s="152">
        <f>AG52</f>
        <v>15090.065262096776</v>
      </c>
      <c r="AH63" s="136"/>
      <c r="AI63" s="152">
        <f>SUM(AA63,AC63,AE63,AG63)</f>
        <v>48910.161048387105</v>
      </c>
      <c r="AJ63" s="153">
        <f>SUM(AA63,AC63)</f>
        <v>20841.389972154579</v>
      </c>
      <c r="AK63" s="153">
        <f>SUM(AE63,AG63)</f>
        <v>28068.771076232522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 thickBot="1">
      <c r="A64" s="98" t="s">
        <v>37</v>
      </c>
      <c r="B64" s="52"/>
      <c r="C64" s="46"/>
      <c r="D64" s="38"/>
      <c r="E64" s="32"/>
      <c r="F64" s="32"/>
      <c r="G64" s="32"/>
      <c r="H64" s="31"/>
      <c r="I64" s="39">
        <f>I113*I$70</f>
        <v>25927.380000000008</v>
      </c>
      <c r="J64" s="99">
        <f>J113*I$70</f>
        <v>10167.885885670867</v>
      </c>
      <c r="K64" s="40"/>
      <c r="L64" s="22">
        <f>-(L113*G$29*F$9/F$7)/B$112</f>
        <v>-0.32119262951704092</v>
      </c>
      <c r="M64" s="24">
        <f>-J64/B$63</f>
        <v>-0.23229381036036531</v>
      </c>
      <c r="O64" s="2"/>
      <c r="P64" s="2"/>
      <c r="Q64" s="56"/>
      <c r="R64" s="56"/>
      <c r="S64" s="56"/>
      <c r="T64" s="56"/>
      <c r="U64" s="56"/>
      <c r="V64" s="56"/>
      <c r="W64" s="109"/>
      <c r="X64" s="109"/>
      <c r="Y64" s="160" t="s">
        <v>103</v>
      </c>
      <c r="Z64" s="158"/>
      <c r="AA64" s="110">
        <f>AA23*$I$70/4</f>
        <v>0</v>
      </c>
      <c r="AB64" s="111"/>
      <c r="AC64" s="110">
        <f>AC23*$I$70/4</f>
        <v>0</v>
      </c>
      <c r="AD64" s="111"/>
      <c r="AE64" s="110">
        <f>AE23*$I$70/4</f>
        <v>0</v>
      </c>
      <c r="AF64" s="111"/>
      <c r="AG64" s="110">
        <f>AG23*$I$70/4</f>
        <v>0</v>
      </c>
      <c r="AH64" s="109"/>
      <c r="AI64" s="153">
        <f>SUM(AA64,AC64,AE64,AG64)</f>
        <v>0</v>
      </c>
      <c r="AJ64" s="152">
        <f>SUM(AA64,AC64)</f>
        <v>0</v>
      </c>
      <c r="AK64" s="159">
        <f>SUM(AE64,AG64)</f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53" t="s">
        <v>38</v>
      </c>
      <c r="B65" s="46"/>
      <c r="C65" s="46"/>
      <c r="D65" s="38"/>
      <c r="E65" s="32"/>
      <c r="F65" s="32"/>
      <c r="G65" s="32"/>
      <c r="H65" s="31"/>
      <c r="I65" s="47"/>
      <c r="J65" s="48"/>
      <c r="K65" s="32"/>
      <c r="L65" s="32"/>
      <c r="M65" s="48"/>
      <c r="N65" s="2"/>
      <c r="O65" s="2"/>
      <c r="P65" s="2"/>
      <c r="Q65" s="56"/>
      <c r="R65" s="56"/>
      <c r="S65" s="56"/>
      <c r="T65" s="56"/>
      <c r="U65" s="56"/>
      <c r="V65" s="56"/>
      <c r="W65" s="109"/>
      <c r="X65" s="109"/>
      <c r="Y65" s="160" t="s">
        <v>104</v>
      </c>
      <c r="Z65" s="109"/>
      <c r="AA65" s="111">
        <f>IF(SUM(AG6:AG21)+((AG52-AG57-$J$62)*4/I$70)&lt;1,0,AG52-AG57-$J$62-(1-SUM(AG6:AG21))*I$70/4)</f>
        <v>10014.708397505594</v>
      </c>
      <c r="AB65" s="111"/>
      <c r="AC65" s="111">
        <f>IF(AA62&lt;0,0,AA62)</f>
        <v>17011.350811657823</v>
      </c>
      <c r="AD65" s="111"/>
      <c r="AE65" s="111">
        <f>AC62</f>
        <v>22175.474911060799</v>
      </c>
      <c r="AF65" s="111"/>
      <c r="AG65" s="111">
        <f>AE62</f>
        <v>30779.515365890446</v>
      </c>
      <c r="AH65" s="109"/>
      <c r="AI65" s="145"/>
      <c r="AJ65" s="109"/>
      <c r="AK65" s="145"/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4" customHeight="1">
      <c r="A66" s="46" t="s">
        <v>39</v>
      </c>
      <c r="B66" s="234" t="str">
        <f>[1]Summ!E1037</f>
        <v>maize</v>
      </c>
      <c r="C66" s="46"/>
      <c r="D66" s="38"/>
      <c r="E66" s="32"/>
      <c r="F66" s="32"/>
      <c r="G66" s="32"/>
      <c r="H66" s="31"/>
      <c r="I66" s="47"/>
      <c r="J66" s="48"/>
      <c r="K66" s="32"/>
      <c r="L66" s="32"/>
      <c r="M66" s="48"/>
      <c r="N66" s="32"/>
      <c r="O66" s="2"/>
      <c r="P66" s="2"/>
      <c r="Q66" s="56"/>
      <c r="R66" s="56"/>
      <c r="S66" s="56"/>
      <c r="T66" s="56"/>
      <c r="U66" s="56"/>
      <c r="V66" s="56"/>
      <c r="W66" s="109"/>
      <c r="X66" s="109"/>
      <c r="Y66" s="160" t="s">
        <v>64</v>
      </c>
      <c r="Z66" s="109"/>
      <c r="AA66" s="111">
        <f>AA52-AA57+IF(SUM(AG6:AG21)+((AG52-AG57-$J$62)*4/I$70)&lt;1,0,AG52-AG57-$J$62-(1-SUM(AG6:AG21))*I$70/4)</f>
        <v>17011.350811657823</v>
      </c>
      <c r="AB66" s="111"/>
      <c r="AC66" s="111">
        <f>AA66-AA61+AC52-AC57</f>
        <v>22175.474911060799</v>
      </c>
      <c r="AD66" s="111"/>
      <c r="AE66" s="111">
        <f>AC66-AC61+AE52-AE57</f>
        <v>30813.868995896864</v>
      </c>
      <c r="AF66" s="111"/>
      <c r="AG66" s="111">
        <f>AE66-AE61+AG52-AG57</f>
        <v>41529.268898687529</v>
      </c>
      <c r="AH66" s="109"/>
      <c r="AI66" s="145"/>
      <c r="AJ66" s="109"/>
      <c r="AK66" s="145"/>
      <c r="AS66" s="25"/>
      <c r="AT66" s="25"/>
      <c r="AU66" s="25"/>
      <c r="AV66" s="25"/>
      <c r="AW66" s="25"/>
      <c r="AX66" s="25"/>
      <c r="AZ66" s="25"/>
      <c r="BA66" s="25"/>
      <c r="BB66" s="25"/>
      <c r="BC66" s="25"/>
      <c r="BD66" s="25"/>
      <c r="BE66" s="25"/>
      <c r="BI66" s="25"/>
      <c r="BJ66" s="25"/>
      <c r="BK66" s="25"/>
      <c r="BL66" s="25"/>
      <c r="BM66" s="25"/>
      <c r="BN66" s="25"/>
      <c r="BP66" s="25"/>
      <c r="BQ66" s="25"/>
      <c r="BR66" s="25"/>
      <c r="BS66" s="25"/>
      <c r="BT66" s="25"/>
      <c r="BU66" s="25"/>
      <c r="BX66" s="25"/>
      <c r="BY66" s="25"/>
      <c r="BZ66" s="25"/>
      <c r="CA66" s="25"/>
      <c r="CB66" s="25"/>
      <c r="CC66" s="25"/>
      <c r="CE66" s="25"/>
      <c r="CF66" s="25"/>
      <c r="CG66" s="25"/>
      <c r="CH66" s="25"/>
      <c r="CI66" s="25"/>
      <c r="CJ66" s="25"/>
    </row>
    <row r="67" spans="1:88" ht="14" customHeight="1">
      <c r="A67" s="46" t="s">
        <v>40</v>
      </c>
      <c r="B67" s="234">
        <f>[1]Summ!E1038</f>
        <v>0.58061985920496251</v>
      </c>
      <c r="C67" s="46"/>
      <c r="D67" s="38"/>
      <c r="E67" s="32"/>
      <c r="F67" s="32"/>
      <c r="G67" s="32"/>
      <c r="H67" s="31"/>
      <c r="I67" s="47"/>
      <c r="J67" s="48"/>
      <c r="K67" s="32"/>
      <c r="L67" s="32"/>
      <c r="M67" s="48"/>
      <c r="N67" s="32"/>
      <c r="O67" s="2"/>
      <c r="P67" s="2"/>
      <c r="Q67" s="56"/>
      <c r="R67" s="56"/>
      <c r="S67" s="56"/>
      <c r="T67" s="56"/>
      <c r="U67" s="56"/>
      <c r="V67" s="56"/>
      <c r="W67" s="109"/>
      <c r="X67" s="109"/>
      <c r="Y67" s="160"/>
      <c r="Z67" s="109"/>
      <c r="AA67" s="109"/>
      <c r="AB67" s="109"/>
      <c r="AC67" s="109"/>
      <c r="AD67" s="109"/>
      <c r="AE67" s="109"/>
      <c r="AF67" s="109"/>
      <c r="AG67" s="109"/>
      <c r="AH67" s="109"/>
      <c r="AI67" s="145"/>
      <c r="AJ67" s="109"/>
      <c r="AK67" s="145"/>
      <c r="AS67" s="25"/>
      <c r="AT67" s="25"/>
      <c r="AU67" s="25"/>
      <c r="AV67" s="25"/>
      <c r="AW67" s="25"/>
      <c r="AX67" s="25"/>
      <c r="AZ67" s="25"/>
      <c r="BA67" s="25"/>
      <c r="BB67" s="25"/>
      <c r="BC67" s="25"/>
      <c r="BD67" s="25"/>
      <c r="BE67" s="25"/>
      <c r="BI67" s="25"/>
      <c r="BJ67" s="25"/>
      <c r="BK67" s="25"/>
      <c r="BL67" s="25"/>
      <c r="BM67" s="25"/>
      <c r="BN67" s="25"/>
      <c r="BP67" s="25"/>
      <c r="BQ67" s="25"/>
      <c r="BR67" s="25"/>
      <c r="BS67" s="25"/>
      <c r="BT67" s="25"/>
      <c r="BU67" s="25"/>
      <c r="BX67" s="25"/>
      <c r="BY67" s="25"/>
      <c r="BZ67" s="25"/>
      <c r="CA67" s="25"/>
      <c r="CB67" s="25"/>
      <c r="CC67" s="25"/>
      <c r="CE67" s="25"/>
      <c r="CF67" s="25"/>
      <c r="CG67" s="25"/>
      <c r="CH67" s="25"/>
      <c r="CI67" s="25"/>
      <c r="CJ67" s="25"/>
    </row>
    <row r="68" spans="1:88" ht="14" customHeight="1">
      <c r="A68" s="46" t="s">
        <v>41</v>
      </c>
      <c r="B68" s="234">
        <f>[1]Summ!E1039</f>
        <v>6</v>
      </c>
      <c r="C68" s="46"/>
      <c r="D68" s="38"/>
      <c r="E68" s="32"/>
      <c r="F68" s="32"/>
      <c r="G68" s="32"/>
      <c r="H68" s="31"/>
      <c r="I68" s="47"/>
      <c r="J68" s="48"/>
      <c r="K68" s="32"/>
      <c r="L68" s="32"/>
      <c r="M68" s="48"/>
      <c r="N68" s="32"/>
      <c r="O68" s="2"/>
      <c r="P68" s="2"/>
      <c r="Q68" s="56"/>
      <c r="R68" s="56"/>
      <c r="S68" s="56"/>
      <c r="T68" s="56"/>
      <c r="U68" s="56"/>
      <c r="V68" s="56"/>
      <c r="W68" s="109"/>
      <c r="X68" s="109"/>
      <c r="Y68" s="160"/>
      <c r="Z68" s="142" t="s">
        <v>65</v>
      </c>
      <c r="AA68" s="158"/>
      <c r="AB68" s="158"/>
      <c r="AC68" s="158"/>
      <c r="AD68" s="158"/>
      <c r="AE68" s="158"/>
      <c r="AF68" s="158"/>
      <c r="AG68" s="143"/>
      <c r="AH68" s="113" t="s">
        <v>66</v>
      </c>
      <c r="AI68" s="145"/>
      <c r="AJ68" s="109"/>
      <c r="AK68" s="145"/>
      <c r="AS68" s="25"/>
      <c r="AT68" s="25"/>
      <c r="AU68" s="25"/>
      <c r="AV68" s="25"/>
      <c r="AW68" s="25"/>
      <c r="AX68" s="25"/>
      <c r="AZ68" s="25"/>
      <c r="BA68" s="25"/>
      <c r="BB68" s="25"/>
      <c r="BC68" s="25"/>
      <c r="BD68" s="25"/>
      <c r="BE68" s="25"/>
      <c r="BI68" s="25"/>
      <c r="BJ68" s="25"/>
      <c r="BK68" s="25"/>
      <c r="BL68" s="25"/>
      <c r="BM68" s="25"/>
      <c r="BN68" s="25"/>
      <c r="BP68" s="25"/>
      <c r="BQ68" s="25"/>
      <c r="BR68" s="25"/>
      <c r="BS68" s="25"/>
      <c r="BT68" s="25"/>
      <c r="BU68" s="25"/>
      <c r="BX68" s="25"/>
      <c r="BY68" s="25"/>
      <c r="BZ68" s="25"/>
      <c r="CA68" s="25"/>
      <c r="CB68" s="25"/>
      <c r="CC68" s="25"/>
      <c r="CE68" s="25"/>
      <c r="CF68" s="25"/>
      <c r="CG68" s="25"/>
      <c r="CH68" s="25"/>
      <c r="CI68" s="25"/>
      <c r="CJ68" s="25"/>
    </row>
    <row r="69" spans="1:88" ht="14" customHeight="1">
      <c r="A69" s="46" t="s">
        <v>42</v>
      </c>
      <c r="B69" s="251">
        <f>[1]Summ!E1040</f>
        <v>5.375</v>
      </c>
      <c r="C69" s="46"/>
      <c r="D69" s="38"/>
      <c r="E69" s="32"/>
      <c r="F69" s="32"/>
      <c r="G69" s="32"/>
      <c r="H69" s="31"/>
      <c r="I69" s="47"/>
      <c r="J69" s="48"/>
      <c r="K69" s="32"/>
      <c r="L69" s="32"/>
      <c r="M69" s="48"/>
      <c r="N69" s="32"/>
      <c r="O69" s="2"/>
      <c r="P69" s="56"/>
      <c r="Q69" s="56"/>
      <c r="R69" s="56"/>
      <c r="S69" s="56"/>
      <c r="T69" s="56"/>
      <c r="U69" s="56"/>
      <c r="V69" s="56"/>
      <c r="X69" s="109"/>
      <c r="Y69" s="160" t="s">
        <v>67</v>
      </c>
      <c r="Z69" s="161">
        <f>IF($AH$69=0,0,AA69/$AH$69)</f>
        <v>1</v>
      </c>
      <c r="AA69" s="162">
        <f>5.375*1.12</f>
        <v>6.0200000000000005</v>
      </c>
      <c r="AB69" s="161">
        <f>IF($AH$69=0,0,AC69/$AH$69)</f>
        <v>1</v>
      </c>
      <c r="AC69" s="162">
        <f>5.375*1.12</f>
        <v>6.0200000000000005</v>
      </c>
      <c r="AD69" s="161">
        <f>IF($AH$69=0,0,AE69/$AH$69)</f>
        <v>1</v>
      </c>
      <c r="AE69" s="162">
        <f>5.375*1.12</f>
        <v>6.0200000000000005</v>
      </c>
      <c r="AF69" s="161">
        <f>IF($AH$69=0,0,AG69/$AH$69)</f>
        <v>1</v>
      </c>
      <c r="AG69" s="162">
        <f>5.375*1.12</f>
        <v>6.0200000000000005</v>
      </c>
      <c r="AH69" s="163">
        <f>IF(PRODUCT(AA69,AC69,AE69,AG69)=0,0,SUM(AA69,AC69,AE69,AG69)/4)</f>
        <v>6.0200000000000005</v>
      </c>
      <c r="AI69" s="145"/>
      <c r="AJ69" s="109"/>
      <c r="AK69" s="145"/>
      <c r="AS69" s="25"/>
      <c r="AT69" s="25"/>
      <c r="AU69" s="25"/>
      <c r="AV69" s="25"/>
      <c r="AW69" s="25"/>
      <c r="AX69" s="25"/>
      <c r="AZ69" s="25"/>
      <c r="BA69" s="25"/>
      <c r="BB69" s="25"/>
      <c r="BC69" s="25"/>
      <c r="BD69" s="25"/>
      <c r="BE69" s="25"/>
      <c r="BI69" s="25"/>
      <c r="BJ69" s="25"/>
      <c r="BK69" s="25"/>
      <c r="BL69" s="25"/>
      <c r="BM69" s="25"/>
      <c r="BN69" s="25"/>
      <c r="BP69" s="25"/>
      <c r="BQ69" s="25"/>
      <c r="BR69" s="25"/>
      <c r="BS69" s="25"/>
      <c r="BT69" s="25"/>
      <c r="BU69" s="25"/>
      <c r="BX69" s="25"/>
      <c r="BY69" s="25"/>
      <c r="BZ69" s="25"/>
      <c r="CA69" s="25"/>
      <c r="CB69" s="25"/>
      <c r="CC69" s="25"/>
      <c r="CE69" s="25"/>
      <c r="CF69" s="25"/>
      <c r="CG69" s="25"/>
      <c r="CH69" s="25"/>
      <c r="CI69" s="25"/>
      <c r="CJ69" s="25"/>
    </row>
    <row r="70" spans="1:88" ht="14" customHeight="1">
      <c r="A70" s="46" t="s">
        <v>43</v>
      </c>
      <c r="B70" s="46">
        <f>365*B67*B68*B69</f>
        <v>6834.6215176664155</v>
      </c>
      <c r="C70" s="46"/>
      <c r="D70" s="38"/>
      <c r="E70" s="32"/>
      <c r="F70" s="32"/>
      <c r="G70" s="32"/>
      <c r="H70" s="24">
        <f>G$29*F$9/F$7</f>
        <v>1.1200000000000001</v>
      </c>
      <c r="I70" s="39">
        <f xml:space="preserve"> B70*H70</f>
        <v>7654.7760997863861</v>
      </c>
      <c r="J70" s="48"/>
      <c r="K70" s="32"/>
      <c r="L70" s="32"/>
      <c r="M70" s="48"/>
      <c r="N70" s="64"/>
      <c r="O70" s="19"/>
      <c r="S70" s="56"/>
      <c r="T70" s="56"/>
      <c r="U70" s="56"/>
      <c r="V70" s="56"/>
      <c r="X70" s="109"/>
      <c r="Y70" s="160" t="s">
        <v>131</v>
      </c>
      <c r="Z70" s="109"/>
      <c r="AA70" s="164">
        <f>$I$70*Z69/4</f>
        <v>1913.6940249465965</v>
      </c>
      <c r="AB70" s="111"/>
      <c r="AC70" s="164">
        <f>$I$70*AB69/4</f>
        <v>1913.6940249465965</v>
      </c>
      <c r="AD70" s="111"/>
      <c r="AE70" s="164">
        <f>$I$70*AD69/4</f>
        <v>1913.6940249465965</v>
      </c>
      <c r="AF70" s="111"/>
      <c r="AG70" s="164">
        <f>$I$70*AF69/4</f>
        <v>1913.6940249465965</v>
      </c>
      <c r="AH70" s="164">
        <f>SUM(AA70,AC70,AE70,AG70)</f>
        <v>7654.7760997863861</v>
      </c>
      <c r="AI70" s="145"/>
      <c r="AJ70" s="109"/>
      <c r="AK70" s="145"/>
      <c r="AS70" s="25"/>
      <c r="AT70" s="25"/>
      <c r="AU70" s="25"/>
      <c r="AV70" s="25"/>
      <c r="AW70" s="25"/>
      <c r="AX70" s="25"/>
      <c r="AZ70" s="25"/>
      <c r="BA70" s="25"/>
      <c r="BB70" s="25"/>
      <c r="BC70" s="25"/>
      <c r="BD70" s="25"/>
      <c r="BE70" s="25"/>
      <c r="BI70" s="25"/>
      <c r="BJ70" s="25"/>
      <c r="BK70" s="25"/>
      <c r="BL70" s="25"/>
      <c r="BM70" s="25"/>
      <c r="BN70" s="25"/>
      <c r="BP70" s="25"/>
      <c r="BQ70" s="25"/>
      <c r="BR70" s="25"/>
      <c r="BS70" s="25"/>
      <c r="BT70" s="25"/>
      <c r="BU70" s="25"/>
      <c r="BX70" s="25"/>
      <c r="BY70" s="25"/>
      <c r="BZ70" s="25"/>
      <c r="CA70" s="25"/>
      <c r="CB70" s="25"/>
      <c r="CC70" s="25"/>
      <c r="CE70" s="25"/>
      <c r="CF70" s="25"/>
      <c r="CG70" s="25"/>
      <c r="CH70" s="25"/>
      <c r="CI70" s="25"/>
      <c r="CJ70" s="25"/>
    </row>
    <row r="71" spans="1:88" ht="14" customHeight="1" thickBot="1">
      <c r="A71" s="46" t="s">
        <v>142</v>
      </c>
      <c r="B71" s="246">
        <f>B57+((1-D21)*B70)</f>
        <v>19249.362863939343</v>
      </c>
      <c r="C71" s="46"/>
      <c r="D71" s="38"/>
      <c r="E71" s="32"/>
      <c r="F71" s="32"/>
      <c r="G71" s="32"/>
      <c r="H71" s="248">
        <f>IF(B71=0,0,I71/B71)</f>
        <v>1.1358230317232829</v>
      </c>
      <c r="I71" s="247">
        <f>(B57*H57)+((1-(D21*H21))*I70)</f>
        <v>21863.869686861162</v>
      </c>
      <c r="J71" s="48"/>
      <c r="K71" s="32"/>
      <c r="L71" s="32"/>
      <c r="M71" s="48"/>
      <c r="N71" s="32"/>
      <c r="O71" s="59"/>
      <c r="P71" s="246"/>
      <c r="Q71" s="245"/>
      <c r="R71" s="41"/>
      <c r="S71" s="56"/>
      <c r="T71" s="56"/>
      <c r="U71" s="56"/>
      <c r="V71" s="56"/>
      <c r="X71" s="109"/>
      <c r="Y71" s="160"/>
      <c r="Z71" s="109"/>
      <c r="AA71" s="109"/>
      <c r="AB71" s="109"/>
      <c r="AC71" s="109"/>
      <c r="AD71" s="109"/>
      <c r="AE71" s="109"/>
      <c r="AF71" s="109"/>
      <c r="AG71" s="109"/>
      <c r="AH71" s="109"/>
      <c r="AI71" s="145"/>
      <c r="AJ71" s="109"/>
      <c r="AK71" s="145"/>
      <c r="AS71" s="25"/>
      <c r="AT71" s="25"/>
      <c r="AU71" s="25"/>
      <c r="AV71" s="25"/>
      <c r="AW71" s="25"/>
      <c r="AX71" s="25"/>
      <c r="AZ71" s="25"/>
      <c r="BA71" s="25"/>
      <c r="BB71" s="25"/>
      <c r="BC71" s="25"/>
      <c r="BD71" s="25"/>
      <c r="BE71" s="25"/>
      <c r="BI71" s="25"/>
      <c r="BJ71" s="25"/>
      <c r="BK71" s="25"/>
      <c r="BL71" s="25"/>
      <c r="BM71" s="25"/>
      <c r="BN71" s="25"/>
      <c r="BP71" s="25"/>
      <c r="BQ71" s="25"/>
      <c r="BR71" s="25"/>
      <c r="BS71" s="25"/>
      <c r="BT71" s="25"/>
      <c r="BU71" s="25"/>
      <c r="BX71" s="25"/>
      <c r="BY71" s="25"/>
      <c r="BZ71" s="25"/>
      <c r="CA71" s="25"/>
      <c r="CB71" s="25"/>
      <c r="CC71" s="25"/>
      <c r="CE71" s="25"/>
      <c r="CF71" s="25"/>
      <c r="CG71" s="25"/>
      <c r="CH71" s="25"/>
      <c r="CI71" s="25"/>
      <c r="CJ71" s="25"/>
    </row>
    <row r="72" spans="1:88" ht="14" customHeight="1" thickBot="1">
      <c r="A72" s="46" t="s">
        <v>44</v>
      </c>
      <c r="B72" s="46"/>
      <c r="C72" s="46"/>
      <c r="D72" s="38"/>
      <c r="E72" s="32"/>
      <c r="F72" s="32"/>
      <c r="G72" s="32"/>
      <c r="H72" s="31"/>
      <c r="I72" s="47"/>
      <c r="J72" s="48"/>
      <c r="K72" s="32"/>
      <c r="L72" s="32"/>
      <c r="M72" s="48"/>
      <c r="N72" s="32"/>
      <c r="O72" s="59"/>
      <c r="P72" s="246"/>
      <c r="Q72" s="56"/>
      <c r="R72" s="41"/>
      <c r="S72" s="56"/>
      <c r="T72" s="56"/>
      <c r="U72" s="56"/>
      <c r="V72" s="56"/>
      <c r="X72" s="109"/>
      <c r="Y72" s="160"/>
      <c r="Z72" s="109"/>
      <c r="AA72" s="112"/>
      <c r="AB72" s="109"/>
      <c r="AC72" s="112"/>
      <c r="AD72" s="109"/>
      <c r="AE72" s="112"/>
      <c r="AF72" s="109"/>
      <c r="AG72" s="112"/>
      <c r="AH72" s="109"/>
      <c r="AI72" s="191"/>
      <c r="AJ72" s="192"/>
      <c r="AK72" s="193"/>
      <c r="AS72" s="25"/>
      <c r="AT72" s="25"/>
      <c r="AU72" s="25"/>
      <c r="AV72" s="25"/>
      <c r="AW72" s="25"/>
      <c r="AX72" s="25"/>
      <c r="AZ72" s="25"/>
      <c r="BA72" s="25"/>
      <c r="BB72" s="25"/>
      <c r="BC72" s="25"/>
      <c r="BD72" s="25"/>
      <c r="BE72" s="25"/>
      <c r="BI72" s="25"/>
      <c r="BJ72" s="25"/>
      <c r="BK72" s="25"/>
      <c r="BL72" s="25"/>
      <c r="BM72" s="25"/>
      <c r="BN72" s="25"/>
      <c r="BP72" s="25"/>
      <c r="BQ72" s="25"/>
      <c r="BR72" s="25"/>
      <c r="BS72" s="25"/>
      <c r="BT72" s="25"/>
      <c r="BU72" s="25"/>
      <c r="BX72" s="25"/>
      <c r="BY72" s="25"/>
      <c r="BZ72" s="25"/>
      <c r="CA72" s="25"/>
      <c r="CB72" s="25"/>
      <c r="CC72" s="25"/>
      <c r="CE72" s="25"/>
      <c r="CF72" s="25"/>
      <c r="CG72" s="25"/>
      <c r="CH72" s="25"/>
      <c r="CI72" s="25"/>
      <c r="CJ72" s="25"/>
    </row>
    <row r="73" spans="1:88" ht="14" customHeight="1">
      <c r="A73" s="105"/>
      <c r="B73" s="106"/>
      <c r="C73" s="46"/>
      <c r="D73" s="38"/>
      <c r="E73" s="32"/>
      <c r="F73" s="32"/>
      <c r="G73" s="32"/>
      <c r="H73" s="31"/>
      <c r="I73" s="47"/>
      <c r="J73" s="48"/>
      <c r="K73" s="32"/>
      <c r="L73" s="32"/>
      <c r="M73" s="48"/>
      <c r="N73" s="32"/>
      <c r="O73" s="59"/>
      <c r="P73" s="246"/>
      <c r="Q73" s="2"/>
      <c r="R73" s="246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I73" s="79"/>
      <c r="AS73" s="25"/>
      <c r="AT73" s="25"/>
      <c r="AU73" s="25"/>
      <c r="AV73" s="25"/>
      <c r="AW73" s="25"/>
      <c r="AX73" s="25"/>
      <c r="AZ73" s="25"/>
      <c r="BA73" s="25"/>
      <c r="BB73" s="25"/>
      <c r="BC73" s="25"/>
      <c r="BD73" s="25"/>
      <c r="BE73" s="25"/>
      <c r="BI73" s="25"/>
      <c r="BJ73" s="25"/>
      <c r="BK73" s="25"/>
      <c r="BL73" s="25"/>
      <c r="BM73" s="25"/>
      <c r="BN73" s="25"/>
      <c r="BP73" s="25"/>
      <c r="BQ73" s="25"/>
      <c r="BR73" s="25"/>
      <c r="BS73" s="25"/>
      <c r="BT73" s="25"/>
      <c r="BU73" s="25"/>
      <c r="BX73" s="25"/>
      <c r="BY73" s="25"/>
      <c r="BZ73" s="25"/>
      <c r="CA73" s="25"/>
      <c r="CB73" s="25"/>
      <c r="CC73" s="25"/>
      <c r="CE73" s="25"/>
      <c r="CF73" s="25"/>
      <c r="CG73" s="25"/>
      <c r="CH73" s="25"/>
      <c r="CI73" s="25"/>
      <c r="CJ73" s="25"/>
    </row>
    <row r="74" spans="1:88" ht="14" customHeight="1">
      <c r="A74" s="39" t="s">
        <v>124</v>
      </c>
      <c r="B74" s="75">
        <f>[1]Summ!$I$815</f>
        <v>0</v>
      </c>
      <c r="C74" s="54"/>
      <c r="D74" s="12"/>
      <c r="E74" s="14"/>
      <c r="F74" s="14"/>
      <c r="G74" s="14"/>
      <c r="H74" s="12"/>
      <c r="I74" s="14"/>
      <c r="J74" s="12"/>
      <c r="K74" s="14"/>
      <c r="L74" s="14"/>
      <c r="M74" s="10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186"/>
      <c r="AB74" s="186"/>
      <c r="AC74" s="186"/>
      <c r="AD74" s="186"/>
      <c r="AE74" s="186"/>
      <c r="AF74" s="186"/>
      <c r="AG74" s="186"/>
      <c r="AH74" s="187"/>
      <c r="AI74" s="189"/>
      <c r="AJ74" s="79"/>
      <c r="AS74" s="25"/>
      <c r="AT74" s="25"/>
      <c r="AU74" s="25"/>
      <c r="AV74" s="25"/>
      <c r="AW74" s="25"/>
      <c r="AX74" s="25"/>
      <c r="AZ74" s="25"/>
      <c r="BA74" s="25"/>
      <c r="BB74" s="25"/>
      <c r="BC74" s="25"/>
      <c r="BD74" s="25"/>
      <c r="BE74" s="25"/>
      <c r="BI74" s="25"/>
      <c r="BJ74" s="25"/>
      <c r="BK74" s="25"/>
      <c r="BL74" s="25"/>
      <c r="BM74" s="25"/>
      <c r="BN74" s="25"/>
      <c r="BP74" s="25"/>
      <c r="BQ74" s="25"/>
      <c r="BR74" s="25"/>
      <c r="BS74" s="25"/>
      <c r="BT74" s="25"/>
      <c r="BU74" s="25"/>
      <c r="BX74" s="25"/>
      <c r="BY74" s="25"/>
      <c r="BZ74" s="25"/>
      <c r="CA74" s="25"/>
      <c r="CB74" s="25"/>
      <c r="CC74" s="25"/>
      <c r="CE74" s="25"/>
      <c r="CF74" s="25"/>
      <c r="CG74" s="25"/>
      <c r="CH74" s="25"/>
      <c r="CI74" s="25"/>
      <c r="CJ74" s="25"/>
    </row>
    <row r="75" spans="1:88" ht="15.75" customHeight="1">
      <c r="A75" s="55" t="str">
        <f>A26</f>
        <v>Income : Poor HHs</v>
      </c>
      <c r="B75" s="56"/>
      <c r="C75" s="56"/>
      <c r="D75" s="31"/>
      <c r="E75" s="2"/>
      <c r="F75" s="2"/>
      <c r="G75" s="2"/>
      <c r="H75" s="17"/>
      <c r="I75" s="2"/>
      <c r="J75" s="33"/>
      <c r="M75" s="57"/>
      <c r="N75" s="58"/>
      <c r="Q75" s="2"/>
      <c r="R75" s="2"/>
      <c r="S75" s="2"/>
      <c r="T75" s="2"/>
      <c r="U75" s="2"/>
      <c r="V75" s="2"/>
      <c r="W75" s="2"/>
      <c r="X75" s="2"/>
      <c r="Y75" s="2"/>
      <c r="Z75" s="2"/>
      <c r="AA75" s="39"/>
      <c r="AB75" s="2"/>
      <c r="AC75" s="2"/>
      <c r="AD75" s="2"/>
      <c r="AE75" s="2"/>
      <c r="AF75" s="2"/>
      <c r="AG75" s="2"/>
      <c r="AI75" s="79"/>
      <c r="AS75" s="25"/>
      <c r="AT75" s="25"/>
      <c r="AU75" s="25"/>
      <c r="AV75" s="25"/>
      <c r="AW75" s="25"/>
      <c r="AX75" s="25"/>
      <c r="AZ75" s="25"/>
      <c r="BA75" s="25"/>
      <c r="BB75" s="25"/>
      <c r="BC75" s="25"/>
      <c r="BD75" s="25"/>
      <c r="BE75" s="25"/>
      <c r="BI75" s="25"/>
      <c r="BJ75" s="25"/>
      <c r="BK75" s="25"/>
      <c r="BL75" s="25"/>
      <c r="BM75" s="25"/>
      <c r="BN75" s="25"/>
      <c r="BP75" s="25"/>
      <c r="BQ75" s="25"/>
      <c r="BR75" s="25"/>
      <c r="BS75" s="25"/>
      <c r="BT75" s="25"/>
      <c r="BU75" s="25"/>
      <c r="BX75" s="25"/>
      <c r="BY75" s="25"/>
      <c r="BZ75" s="25"/>
      <c r="CA75" s="25"/>
      <c r="CB75" s="25"/>
      <c r="CC75" s="25"/>
      <c r="CE75" s="25"/>
      <c r="CF75" s="25"/>
      <c r="CG75" s="25"/>
      <c r="CH75" s="25"/>
      <c r="CI75" s="25"/>
      <c r="CJ75" s="25"/>
    </row>
    <row r="76" spans="1:88" ht="14" customHeight="1">
      <c r="A76" s="56"/>
      <c r="B76" s="59" t="s">
        <v>7</v>
      </c>
      <c r="C76" s="59" t="s">
        <v>8</v>
      </c>
      <c r="D76" s="16" t="s">
        <v>9</v>
      </c>
      <c r="H76" s="16" t="s">
        <v>12</v>
      </c>
      <c r="I76" s="19" t="s">
        <v>13</v>
      </c>
      <c r="J76" s="16" t="s">
        <v>14</v>
      </c>
      <c r="K76" s="19" t="s">
        <v>7</v>
      </c>
      <c r="L76" s="19" t="s">
        <v>15</v>
      </c>
      <c r="M76" s="57" t="str">
        <f t="shared" ref="M76:M101" si="40">(J76)</f>
        <v>Curr.</v>
      </c>
      <c r="N76" s="58"/>
      <c r="Q76" s="2"/>
      <c r="R76" s="2"/>
      <c r="S76" s="2"/>
      <c r="T76" s="2"/>
      <c r="U76" s="2"/>
      <c r="V76" s="2"/>
      <c r="W76" s="2"/>
      <c r="X76" s="2"/>
      <c r="Y76" s="2"/>
      <c r="Z76" s="2"/>
      <c r="AA76" s="39"/>
      <c r="AB76" s="2"/>
      <c r="AC76" s="39"/>
      <c r="AD76" s="2"/>
      <c r="AE76" s="39"/>
      <c r="AF76" s="2"/>
      <c r="AG76" s="39"/>
      <c r="AS76" s="25"/>
      <c r="AT76" s="25"/>
      <c r="AU76" s="25"/>
      <c r="AV76" s="25"/>
      <c r="AW76" s="25"/>
      <c r="AX76" s="25"/>
      <c r="AZ76" s="25"/>
      <c r="BA76" s="25"/>
      <c r="BB76" s="25"/>
      <c r="BC76" s="25"/>
      <c r="BD76" s="25"/>
      <c r="BE76" s="25"/>
      <c r="BI76" s="25"/>
      <c r="BJ76" s="25"/>
      <c r="BK76" s="25"/>
      <c r="BL76" s="25"/>
      <c r="BM76" s="25"/>
      <c r="BN76" s="25"/>
      <c r="BP76" s="25"/>
      <c r="BQ76" s="25"/>
      <c r="BR76" s="25"/>
      <c r="BS76" s="25"/>
      <c r="BT76" s="25"/>
      <c r="BU76" s="25"/>
      <c r="BX76" s="25"/>
      <c r="BY76" s="25"/>
      <c r="BZ76" s="25"/>
      <c r="CA76" s="25"/>
      <c r="CB76" s="25"/>
      <c r="CC76" s="25"/>
      <c r="CE76" s="25"/>
      <c r="CF76" s="25"/>
      <c r="CG76" s="25"/>
      <c r="CH76" s="25"/>
      <c r="CI76" s="25"/>
      <c r="CJ76" s="25"/>
    </row>
    <row r="77" spans="1:88" ht="14" customHeight="1">
      <c r="A77" s="56" t="s">
        <v>45</v>
      </c>
      <c r="B77" s="59" t="s">
        <v>16</v>
      </c>
      <c r="C77" s="59" t="s">
        <v>17</v>
      </c>
      <c r="D77" s="16" t="s">
        <v>16</v>
      </c>
      <c r="H77" s="16" t="s">
        <v>18</v>
      </c>
      <c r="I77" s="19" t="s">
        <v>16</v>
      </c>
      <c r="J77" s="16" t="s">
        <v>16</v>
      </c>
      <c r="K77" s="19" t="s">
        <v>16</v>
      </c>
      <c r="L77" s="19" t="s">
        <v>19</v>
      </c>
      <c r="M77" s="57" t="str">
        <f t="shared" si="40"/>
        <v>Access</v>
      </c>
      <c r="N77" s="58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39"/>
      <c r="AS77" s="25"/>
      <c r="AT77" s="25"/>
      <c r="AU77" s="25"/>
      <c r="AV77" s="25"/>
      <c r="AW77" s="25"/>
      <c r="AX77" s="25"/>
      <c r="AZ77" s="25"/>
      <c r="BA77" s="25"/>
      <c r="BB77" s="25"/>
      <c r="BC77" s="25"/>
      <c r="BD77" s="25"/>
      <c r="BE77" s="25"/>
      <c r="BI77" s="25"/>
      <c r="BJ77" s="25"/>
      <c r="BK77" s="25"/>
      <c r="BL77" s="25"/>
      <c r="BM77" s="25"/>
      <c r="BN77" s="25"/>
      <c r="BP77" s="25"/>
      <c r="BQ77" s="25"/>
      <c r="BR77" s="25"/>
      <c r="BS77" s="25"/>
      <c r="BT77" s="25"/>
      <c r="BU77" s="25"/>
      <c r="BX77" s="25"/>
      <c r="BY77" s="25"/>
      <c r="BZ77" s="25"/>
      <c r="CA77" s="25"/>
      <c r="CB77" s="25"/>
      <c r="CC77" s="25"/>
      <c r="CE77" s="25"/>
      <c r="CF77" s="25"/>
      <c r="CG77" s="25"/>
      <c r="CH77" s="25"/>
      <c r="CI77" s="25"/>
      <c r="CJ77" s="25"/>
    </row>
    <row r="78" spans="1:88" ht="14" customHeight="1">
      <c r="A78" s="56" t="str">
        <f t="shared" ref="A78:A100" si="41">IF(A29="","",A29)</f>
        <v>Cattle sales - local: no. sold</v>
      </c>
      <c r="B78" s="60">
        <f t="shared" ref="B78:C100" si="42">IF(B29="","",(B29/$B$70))</f>
        <v>0.43894164325639312</v>
      </c>
      <c r="C78" s="60">
        <f t="shared" si="42"/>
        <v>0</v>
      </c>
      <c r="D78" s="24">
        <f>SUM(B78,C78)</f>
        <v>0.43894164325639312</v>
      </c>
      <c r="H78" s="24">
        <f t="shared" ref="H78:H100" si="43">(E29*F29/G29*F$7/F$9)</f>
        <v>0.99107142857142871</v>
      </c>
      <c r="I78" s="22">
        <f t="shared" ref="I78:I100" si="44">(D78*H78)</f>
        <v>0.43502252144160397</v>
      </c>
      <c r="J78" s="24">
        <f t="shared" ref="J78:J100" si="45">IF(I$24&lt;=1+I$113,I78,L78+J$25*(I78-L78))</f>
        <v>0.43502252144160397</v>
      </c>
      <c r="K78" s="22">
        <f t="shared" ref="K78:K100" si="46">IF(B78="",0,B78)</f>
        <v>0.43894164325639312</v>
      </c>
      <c r="L78" s="22">
        <f t="shared" ref="L78:L100" si="47">(K78*H78)</f>
        <v>0.43502252144160397</v>
      </c>
      <c r="M78" s="231">
        <f t="shared" si="40"/>
        <v>0.43502252144160397</v>
      </c>
      <c r="N78" s="233">
        <v>5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39"/>
      <c r="AB78" s="2"/>
      <c r="AC78" s="39"/>
      <c r="AD78" s="2"/>
      <c r="AE78" s="39"/>
      <c r="AF78" s="2"/>
      <c r="AG78" s="39"/>
      <c r="AS78" s="25"/>
      <c r="AT78" s="25"/>
      <c r="AU78" s="25"/>
      <c r="AV78" s="25"/>
      <c r="AW78" s="25"/>
      <c r="AX78" s="25"/>
      <c r="AZ78" s="25"/>
      <c r="BA78" s="25"/>
      <c r="BB78" s="25"/>
      <c r="BC78" s="25"/>
      <c r="BD78" s="25"/>
      <c r="BE78" s="25"/>
      <c r="BI78" s="25"/>
      <c r="BJ78" s="25"/>
      <c r="BK78" s="25"/>
      <c r="BL78" s="25"/>
      <c r="BM78" s="25"/>
      <c r="BN78" s="25"/>
      <c r="BP78" s="25"/>
      <c r="BQ78" s="25"/>
      <c r="BR78" s="25"/>
      <c r="BS78" s="25"/>
      <c r="BT78" s="25"/>
      <c r="BU78" s="25"/>
      <c r="BX78" s="25"/>
      <c r="BY78" s="25"/>
      <c r="BZ78" s="25"/>
      <c r="CA78" s="25"/>
      <c r="CB78" s="25"/>
      <c r="CC78" s="25"/>
      <c r="CE78" s="25"/>
      <c r="CF78" s="25"/>
      <c r="CG78" s="25"/>
      <c r="CH78" s="25"/>
      <c r="CI78" s="25"/>
      <c r="CJ78" s="25"/>
    </row>
    <row r="79" spans="1:88" ht="14" customHeight="1">
      <c r="A79" s="56" t="str">
        <f t="shared" si="41"/>
        <v>Goat sales - local: no. sold</v>
      </c>
      <c r="B79" s="60">
        <f t="shared" si="42"/>
        <v>9.2177745083842563E-2</v>
      </c>
      <c r="C79" s="60">
        <f t="shared" si="42"/>
        <v>0</v>
      </c>
      <c r="D79" s="24">
        <f t="shared" ref="D79:D100" si="48">SUM(B79,C79)</f>
        <v>9.2177745083842563E-2</v>
      </c>
      <c r="H79" s="24">
        <f t="shared" si="43"/>
        <v>0.9732142857142857</v>
      </c>
      <c r="I79" s="22">
        <f t="shared" si="44"/>
        <v>8.9708698340525347E-2</v>
      </c>
      <c r="J79" s="24">
        <f t="shared" si="45"/>
        <v>8.9708698340525347E-2</v>
      </c>
      <c r="K79" s="22">
        <f t="shared" si="46"/>
        <v>9.2177745083842563E-2</v>
      </c>
      <c r="L79" s="22">
        <f t="shared" si="47"/>
        <v>8.9708698340525347E-2</v>
      </c>
      <c r="M79" s="231">
        <f t="shared" si="40"/>
        <v>8.9708698340525347E-2</v>
      </c>
      <c r="N79" s="233">
        <v>5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172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56" t="str">
        <f t="shared" si="41"/>
        <v>Sheep sales - local: no. sold</v>
      </c>
      <c r="B80" s="60">
        <f t="shared" si="42"/>
        <v>0</v>
      </c>
      <c r="C80" s="60">
        <f t="shared" si="42"/>
        <v>0</v>
      </c>
      <c r="D80" s="24">
        <f t="shared" si="48"/>
        <v>0</v>
      </c>
      <c r="H80" s="24">
        <f t="shared" si="43"/>
        <v>0.9732142857142857</v>
      </c>
      <c r="I80" s="22">
        <f t="shared" si="44"/>
        <v>0</v>
      </c>
      <c r="J80" s="24">
        <f t="shared" si="45"/>
        <v>0</v>
      </c>
      <c r="K80" s="22">
        <f t="shared" si="46"/>
        <v>0</v>
      </c>
      <c r="L80" s="22">
        <f t="shared" si="47"/>
        <v>0</v>
      </c>
      <c r="M80" s="231">
        <f t="shared" si="40"/>
        <v>0</v>
      </c>
      <c r="N80" s="233">
        <v>5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56" t="str">
        <f t="shared" si="41"/>
        <v>Maize: kg produced</v>
      </c>
      <c r="B81" s="60">
        <f t="shared" si="42"/>
        <v>0</v>
      </c>
      <c r="C81" s="60">
        <f t="shared" si="42"/>
        <v>0</v>
      </c>
      <c r="D81" s="24">
        <f t="shared" si="48"/>
        <v>0</v>
      </c>
      <c r="H81" s="24">
        <f t="shared" si="43"/>
        <v>0.9107142857142857</v>
      </c>
      <c r="I81" s="22">
        <f t="shared" si="44"/>
        <v>0</v>
      </c>
      <c r="J81" s="24">
        <f t="shared" si="45"/>
        <v>0</v>
      </c>
      <c r="K81" s="22">
        <f t="shared" si="46"/>
        <v>0</v>
      </c>
      <c r="L81" s="22">
        <f t="shared" si="47"/>
        <v>0</v>
      </c>
      <c r="M81" s="231">
        <f t="shared" si="40"/>
        <v>0</v>
      </c>
      <c r="N81" s="233">
        <v>2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56" t="str">
        <f t="shared" si="41"/>
        <v>WILD FOODS -- see worksheet Data 3</v>
      </c>
      <c r="B82" s="60">
        <f t="shared" si="42"/>
        <v>0</v>
      </c>
      <c r="C82" s="60">
        <f t="shared" si="42"/>
        <v>0.10973541081409828</v>
      </c>
      <c r="D82" s="24">
        <f t="shared" si="48"/>
        <v>0.10973541081409828</v>
      </c>
      <c r="H82" s="24">
        <f t="shared" si="43"/>
        <v>0.7142857142857143</v>
      </c>
      <c r="I82" s="22">
        <f t="shared" si="44"/>
        <v>7.8382436295784494E-2</v>
      </c>
      <c r="J82" s="24">
        <f t="shared" si="45"/>
        <v>7.8382436295784494E-2</v>
      </c>
      <c r="K82" s="22">
        <f t="shared" si="46"/>
        <v>0</v>
      </c>
      <c r="L82" s="22">
        <f t="shared" si="47"/>
        <v>0</v>
      </c>
      <c r="M82" s="231">
        <f t="shared" si="40"/>
        <v>7.8382436295784494E-2</v>
      </c>
      <c r="N82" s="233">
        <v>6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56" t="str">
        <f t="shared" si="41"/>
        <v>Agricultural cash income -- see Data2</v>
      </c>
      <c r="B83" s="60">
        <f t="shared" si="42"/>
        <v>1.0644334848967534</v>
      </c>
      <c r="C83" s="60">
        <f t="shared" si="42"/>
        <v>0</v>
      </c>
      <c r="D83" s="24">
        <f t="shared" si="48"/>
        <v>1.0644334848967534</v>
      </c>
      <c r="H83" s="24">
        <f t="shared" si="43"/>
        <v>0.86223214285714289</v>
      </c>
      <c r="I83" s="22">
        <f t="shared" si="44"/>
        <v>0.91778876461142389</v>
      </c>
      <c r="J83" s="24">
        <f t="shared" si="45"/>
        <v>0.91778876461142389</v>
      </c>
      <c r="K83" s="22">
        <f t="shared" si="46"/>
        <v>1.0644334848967534</v>
      </c>
      <c r="L83" s="22">
        <f t="shared" si="47"/>
        <v>0.91778876461142389</v>
      </c>
      <c r="M83" s="231">
        <f t="shared" si="40"/>
        <v>0.91778876461142389</v>
      </c>
      <c r="N83" s="233">
        <v>7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>
      <c r="A84" s="56" t="str">
        <f t="shared" si="41"/>
        <v>Domestic work cash income -- see Data2</v>
      </c>
      <c r="B84" s="60">
        <f t="shared" si="42"/>
        <v>0.82521028932201912</v>
      </c>
      <c r="C84" s="60">
        <f t="shared" si="42"/>
        <v>0</v>
      </c>
      <c r="D84" s="24">
        <f t="shared" si="48"/>
        <v>0.82521028932201912</v>
      </c>
      <c r="H84" s="24">
        <f t="shared" si="43"/>
        <v>0.98214285714285721</v>
      </c>
      <c r="I84" s="22">
        <f t="shared" si="44"/>
        <v>0.8104743912984117</v>
      </c>
      <c r="J84" s="24">
        <f t="shared" si="45"/>
        <v>0.8104743912984117</v>
      </c>
      <c r="K84" s="22">
        <f t="shared" si="46"/>
        <v>0.82521028932201912</v>
      </c>
      <c r="L84" s="22">
        <f t="shared" si="47"/>
        <v>0.8104743912984117</v>
      </c>
      <c r="M84" s="231">
        <f t="shared" si="40"/>
        <v>0.8104743912984117</v>
      </c>
      <c r="N84" s="233">
        <v>7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>
      <c r="A85" s="56" t="str">
        <f t="shared" si="41"/>
        <v>Formal Employment (conservancies, etc.)</v>
      </c>
      <c r="B85" s="60">
        <f t="shared" si="42"/>
        <v>0</v>
      </c>
      <c r="C85" s="60">
        <f t="shared" si="42"/>
        <v>0</v>
      </c>
      <c r="D85" s="24">
        <f t="shared" si="48"/>
        <v>0</v>
      </c>
      <c r="H85" s="24">
        <f t="shared" si="43"/>
        <v>0.95535714285714279</v>
      </c>
      <c r="I85" s="22">
        <f t="shared" si="44"/>
        <v>0</v>
      </c>
      <c r="J85" s="24">
        <f t="shared" si="45"/>
        <v>0</v>
      </c>
      <c r="K85" s="22">
        <f t="shared" si="46"/>
        <v>0</v>
      </c>
      <c r="L85" s="22">
        <f t="shared" si="47"/>
        <v>0</v>
      </c>
      <c r="M85" s="231">
        <f t="shared" si="40"/>
        <v>0</v>
      </c>
      <c r="N85" s="233">
        <v>8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56" t="str">
        <f t="shared" si="41"/>
        <v>Self-employment -- see Data2</v>
      </c>
      <c r="B86" s="60">
        <f t="shared" si="42"/>
        <v>0.73742196067074051</v>
      </c>
      <c r="C86" s="60">
        <f t="shared" si="42"/>
        <v>0.1474843921341481</v>
      </c>
      <c r="D86" s="24">
        <f t="shared" si="48"/>
        <v>0.88490635280488861</v>
      </c>
      <c r="H86" s="24">
        <f t="shared" si="43"/>
        <v>0.98214285714285721</v>
      </c>
      <c r="I86" s="22">
        <f t="shared" si="44"/>
        <v>0.86910445364765854</v>
      </c>
      <c r="J86" s="24">
        <f t="shared" si="45"/>
        <v>0.86910445364765854</v>
      </c>
      <c r="K86" s="22">
        <f t="shared" si="46"/>
        <v>0.73742196067074051</v>
      </c>
      <c r="L86" s="22">
        <f t="shared" si="47"/>
        <v>0.72425371137304873</v>
      </c>
      <c r="M86" s="231">
        <f t="shared" si="40"/>
        <v>0.86910445364765854</v>
      </c>
      <c r="N86" s="233">
        <v>10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56" t="str">
        <f t="shared" si="41"/>
        <v>Small business -- see Data2</v>
      </c>
      <c r="B87" s="60">
        <f t="shared" si="42"/>
        <v>0.52672997190767179</v>
      </c>
      <c r="C87" s="60">
        <f t="shared" si="42"/>
        <v>0</v>
      </c>
      <c r="D87" s="24">
        <f t="shared" si="48"/>
        <v>0.52672997190767179</v>
      </c>
      <c r="H87" s="24">
        <f t="shared" si="43"/>
        <v>0.9375</v>
      </c>
      <c r="I87" s="22">
        <f t="shared" si="44"/>
        <v>0.49380934866344228</v>
      </c>
      <c r="J87" s="24">
        <f t="shared" si="45"/>
        <v>0.49380934866344228</v>
      </c>
      <c r="K87" s="22">
        <f t="shared" si="46"/>
        <v>0.52672997190767179</v>
      </c>
      <c r="L87" s="22">
        <f t="shared" si="47"/>
        <v>0.49380934866344228</v>
      </c>
      <c r="M87" s="231">
        <f t="shared" si="40"/>
        <v>0.49380934866344228</v>
      </c>
      <c r="N87" s="233">
        <v>11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4" customHeight="1">
      <c r="A88" s="56" t="str">
        <f t="shared" si="41"/>
        <v>Social Cash Transfers -- see Data2</v>
      </c>
      <c r="B88" s="60">
        <f t="shared" si="42"/>
        <v>2.7194864860269452</v>
      </c>
      <c r="C88" s="60">
        <f t="shared" si="42"/>
        <v>0</v>
      </c>
      <c r="D88" s="24">
        <f t="shared" si="48"/>
        <v>2.7194864860269452</v>
      </c>
      <c r="H88" s="24">
        <f t="shared" si="43"/>
        <v>0.99107142857142871</v>
      </c>
      <c r="I88" s="22">
        <f t="shared" si="44"/>
        <v>2.6952053566874192</v>
      </c>
      <c r="J88" s="24">
        <f t="shared" si="45"/>
        <v>2.6952053566874192</v>
      </c>
      <c r="K88" s="22">
        <f t="shared" si="46"/>
        <v>2.7194864860269452</v>
      </c>
      <c r="L88" s="22">
        <f t="shared" si="47"/>
        <v>2.6952053566874192</v>
      </c>
      <c r="M88" s="231">
        <f t="shared" si="40"/>
        <v>2.6952053566874192</v>
      </c>
      <c r="N88" s="233">
        <v>14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 t="str">
        <f t="shared" si="41"/>
        <v/>
      </c>
      <c r="B89" s="60">
        <f t="shared" si="42"/>
        <v>0</v>
      </c>
      <c r="C89" s="60">
        <f t="shared" si="42"/>
        <v>0</v>
      </c>
      <c r="D89" s="24">
        <f t="shared" si="48"/>
        <v>0</v>
      </c>
      <c r="H89" s="24">
        <f t="shared" si="43"/>
        <v>0.89285714285714279</v>
      </c>
      <c r="I89" s="22">
        <f t="shared" si="44"/>
        <v>0</v>
      </c>
      <c r="J89" s="24">
        <f t="shared" si="45"/>
        <v>0</v>
      </c>
      <c r="K89" s="22">
        <f>IF(B89="",0,B89)</f>
        <v>0</v>
      </c>
      <c r="L89" s="22">
        <f>(K89*H89)</f>
        <v>0</v>
      </c>
      <c r="M89" s="231">
        <f t="shared" si="40"/>
        <v>0</v>
      </c>
      <c r="N89" s="233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tr">
        <f t="shared" si="41"/>
        <v/>
      </c>
      <c r="B90" s="60">
        <f t="shared" si="42"/>
        <v>0</v>
      </c>
      <c r="C90" s="60">
        <f t="shared" si="42"/>
        <v>0</v>
      </c>
      <c r="D90" s="24">
        <f t="shared" si="48"/>
        <v>0</v>
      </c>
      <c r="H90" s="24">
        <f t="shared" si="43"/>
        <v>0.89285714285714279</v>
      </c>
      <c r="I90" s="22">
        <f t="shared" si="44"/>
        <v>0</v>
      </c>
      <c r="J90" s="24">
        <f t="shared" si="45"/>
        <v>0</v>
      </c>
      <c r="K90" s="22">
        <f t="shared" si="46"/>
        <v>0</v>
      </c>
      <c r="L90" s="22">
        <f t="shared" si="47"/>
        <v>0</v>
      </c>
      <c r="M90" s="231">
        <f t="shared" si="40"/>
        <v>0</v>
      </c>
      <c r="N90" s="233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 t="shared" si="41"/>
        <v/>
      </c>
      <c r="B91" s="60">
        <f t="shared" si="42"/>
        <v>0</v>
      </c>
      <c r="C91" s="60">
        <f t="shared" si="42"/>
        <v>0</v>
      </c>
      <c r="D91" s="24">
        <f t="shared" si="48"/>
        <v>0</v>
      </c>
      <c r="H91" s="24">
        <f t="shared" si="43"/>
        <v>0.89285714285714279</v>
      </c>
      <c r="I91" s="22">
        <f t="shared" si="44"/>
        <v>0</v>
      </c>
      <c r="J91" s="24">
        <f t="shared" si="45"/>
        <v>0</v>
      </c>
      <c r="K91" s="22">
        <f t="shared" si="46"/>
        <v>0</v>
      </c>
      <c r="L91" s="22">
        <f t="shared" si="47"/>
        <v>0</v>
      </c>
      <c r="M91" s="231">
        <f t="shared" si="40"/>
        <v>0</v>
      </c>
      <c r="N91" s="233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si="41"/>
        <v/>
      </c>
      <c r="B92" s="60">
        <f t="shared" si="42"/>
        <v>0</v>
      </c>
      <c r="C92" s="60">
        <f t="shared" si="42"/>
        <v>0</v>
      </c>
      <c r="D92" s="24">
        <f t="shared" si="48"/>
        <v>0</v>
      </c>
      <c r="H92" s="24">
        <f t="shared" si="43"/>
        <v>0.89285714285714279</v>
      </c>
      <c r="I92" s="22">
        <f t="shared" si="44"/>
        <v>0</v>
      </c>
      <c r="J92" s="24">
        <f t="shared" si="45"/>
        <v>0</v>
      </c>
      <c r="K92" s="22">
        <f t="shared" si="46"/>
        <v>0</v>
      </c>
      <c r="L92" s="22">
        <f t="shared" si="47"/>
        <v>0</v>
      </c>
      <c r="M92" s="231">
        <f t="shared" si="40"/>
        <v>0</v>
      </c>
      <c r="N92" s="233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41"/>
        <v/>
      </c>
      <c r="B93" s="60">
        <f t="shared" si="42"/>
        <v>0</v>
      </c>
      <c r="C93" s="60">
        <f t="shared" si="42"/>
        <v>0</v>
      </c>
      <c r="D93" s="24">
        <f t="shared" si="48"/>
        <v>0</v>
      </c>
      <c r="H93" s="24">
        <f t="shared" si="43"/>
        <v>0.89285714285714279</v>
      </c>
      <c r="I93" s="22">
        <f t="shared" si="44"/>
        <v>0</v>
      </c>
      <c r="J93" s="24">
        <f t="shared" si="45"/>
        <v>0</v>
      </c>
      <c r="K93" s="22">
        <f t="shared" si="46"/>
        <v>0</v>
      </c>
      <c r="L93" s="22">
        <f t="shared" si="47"/>
        <v>0</v>
      </c>
      <c r="M93" s="57">
        <f t="shared" si="40"/>
        <v>0</v>
      </c>
      <c r="N93" s="233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41"/>
        <v/>
      </c>
      <c r="B94" s="60">
        <f t="shared" si="42"/>
        <v>0</v>
      </c>
      <c r="C94" s="60">
        <f t="shared" si="42"/>
        <v>0</v>
      </c>
      <c r="D94" s="24">
        <f t="shared" si="48"/>
        <v>0</v>
      </c>
      <c r="H94" s="24">
        <f t="shared" si="43"/>
        <v>0.89285714285714279</v>
      </c>
      <c r="I94" s="22">
        <f t="shared" si="44"/>
        <v>0</v>
      </c>
      <c r="J94" s="24">
        <f t="shared" si="45"/>
        <v>0</v>
      </c>
      <c r="K94" s="22">
        <f t="shared" si="46"/>
        <v>0</v>
      </c>
      <c r="L94" s="22">
        <f t="shared" si="47"/>
        <v>0</v>
      </c>
      <c r="M94" s="57">
        <f t="shared" si="40"/>
        <v>0</v>
      </c>
      <c r="N94" s="233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41"/>
        <v/>
      </c>
      <c r="B95" s="60">
        <f t="shared" si="42"/>
        <v>0</v>
      </c>
      <c r="C95" s="60">
        <f t="shared" si="42"/>
        <v>0</v>
      </c>
      <c r="D95" s="24">
        <f t="shared" si="48"/>
        <v>0</v>
      </c>
      <c r="H95" s="24">
        <f t="shared" si="43"/>
        <v>0.89285714285714279</v>
      </c>
      <c r="I95" s="22">
        <f t="shared" si="44"/>
        <v>0</v>
      </c>
      <c r="J95" s="24">
        <f t="shared" si="45"/>
        <v>0</v>
      </c>
      <c r="K95" s="22">
        <f t="shared" si="46"/>
        <v>0</v>
      </c>
      <c r="L95" s="22">
        <f t="shared" si="47"/>
        <v>0</v>
      </c>
      <c r="M95" s="57">
        <f t="shared" si="40"/>
        <v>0</v>
      </c>
      <c r="N95" s="233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41"/>
        <v/>
      </c>
      <c r="B96" s="60">
        <f t="shared" si="42"/>
        <v>0</v>
      </c>
      <c r="C96" s="60">
        <f t="shared" si="42"/>
        <v>0</v>
      </c>
      <c r="D96" s="24">
        <f t="shared" si="48"/>
        <v>0</v>
      </c>
      <c r="H96" s="24">
        <f t="shared" si="43"/>
        <v>0.89285714285714279</v>
      </c>
      <c r="I96" s="22">
        <f t="shared" si="44"/>
        <v>0</v>
      </c>
      <c r="J96" s="24">
        <f t="shared" si="45"/>
        <v>0</v>
      </c>
      <c r="K96" s="22">
        <f t="shared" si="46"/>
        <v>0</v>
      </c>
      <c r="L96" s="22">
        <f t="shared" si="47"/>
        <v>0</v>
      </c>
      <c r="M96" s="57">
        <f t="shared" si="40"/>
        <v>0</v>
      </c>
      <c r="N96" s="233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41"/>
        <v/>
      </c>
      <c r="B97" s="60">
        <f t="shared" si="42"/>
        <v>0</v>
      </c>
      <c r="C97" s="60">
        <f t="shared" si="42"/>
        <v>0</v>
      </c>
      <c r="D97" s="24">
        <f t="shared" si="48"/>
        <v>0</v>
      </c>
      <c r="H97" s="24">
        <f t="shared" si="43"/>
        <v>0.89285714285714279</v>
      </c>
      <c r="I97" s="22">
        <f t="shared" si="44"/>
        <v>0</v>
      </c>
      <c r="J97" s="24">
        <f t="shared" si="45"/>
        <v>0</v>
      </c>
      <c r="K97" s="22">
        <f t="shared" si="46"/>
        <v>0</v>
      </c>
      <c r="L97" s="22">
        <f t="shared" si="47"/>
        <v>0</v>
      </c>
      <c r="M97" s="57">
        <f t="shared" si="40"/>
        <v>0</v>
      </c>
      <c r="N97" s="233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41"/>
        <v/>
      </c>
      <c r="B98" s="60">
        <f t="shared" si="42"/>
        <v>0</v>
      </c>
      <c r="C98" s="60">
        <f t="shared" si="42"/>
        <v>0</v>
      </c>
      <c r="D98" s="24">
        <f t="shared" si="48"/>
        <v>0</v>
      </c>
      <c r="H98" s="24">
        <f t="shared" si="43"/>
        <v>0.89285714285714279</v>
      </c>
      <c r="I98" s="22">
        <f t="shared" si="44"/>
        <v>0</v>
      </c>
      <c r="J98" s="24">
        <f t="shared" si="45"/>
        <v>0</v>
      </c>
      <c r="K98" s="22">
        <f t="shared" si="46"/>
        <v>0</v>
      </c>
      <c r="L98" s="22">
        <f t="shared" si="47"/>
        <v>0</v>
      </c>
      <c r="M98" s="57">
        <f t="shared" si="40"/>
        <v>0</v>
      </c>
      <c r="N98" s="233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41"/>
        <v/>
      </c>
      <c r="B99" s="60">
        <f t="shared" si="42"/>
        <v>0</v>
      </c>
      <c r="C99" s="60">
        <f t="shared" si="42"/>
        <v>0</v>
      </c>
      <c r="D99" s="24">
        <f t="shared" si="48"/>
        <v>0</v>
      </c>
      <c r="H99" s="24">
        <f t="shared" si="43"/>
        <v>0.89285714285714279</v>
      </c>
      <c r="I99" s="22">
        <f t="shared" si="44"/>
        <v>0</v>
      </c>
      <c r="J99" s="24">
        <f t="shared" si="45"/>
        <v>0</v>
      </c>
      <c r="K99" s="22">
        <f t="shared" si="46"/>
        <v>0</v>
      </c>
      <c r="L99" s="22">
        <f t="shared" si="47"/>
        <v>0</v>
      </c>
      <c r="M99" s="57">
        <f t="shared" si="40"/>
        <v>0</v>
      </c>
      <c r="N99" s="233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41"/>
        <v/>
      </c>
      <c r="B100" s="60">
        <f t="shared" si="42"/>
        <v>0</v>
      </c>
      <c r="C100" s="60">
        <f t="shared" si="42"/>
        <v>0</v>
      </c>
      <c r="D100" s="24">
        <f t="shared" si="48"/>
        <v>0</v>
      </c>
      <c r="H100" s="24">
        <f t="shared" si="43"/>
        <v>0.89285714285714279</v>
      </c>
      <c r="I100" s="22">
        <f t="shared" si="44"/>
        <v>0</v>
      </c>
      <c r="J100" s="24">
        <f t="shared" si="45"/>
        <v>0</v>
      </c>
      <c r="K100" s="22">
        <f t="shared" si="46"/>
        <v>0</v>
      </c>
      <c r="L100" s="22">
        <f t="shared" si="47"/>
        <v>0</v>
      </c>
      <c r="M100" s="57">
        <f t="shared" si="40"/>
        <v>0</v>
      </c>
      <c r="N100" s="233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">
        <v>32</v>
      </c>
      <c r="B101" s="29">
        <f>SUM(B78:B100)</f>
        <v>6.4044015811643655</v>
      </c>
      <c r="C101" s="29">
        <f>SUM(C78:C100)</f>
        <v>0.25721980294824637</v>
      </c>
      <c r="D101" s="24">
        <f>SUM(D78:D100)</f>
        <v>6.6616213841126122</v>
      </c>
      <c r="E101" s="22"/>
      <c r="F101" s="2"/>
      <c r="G101" s="2"/>
      <c r="H101" s="31"/>
      <c r="I101" s="22">
        <f>SUM(I78:I100)</f>
        <v>6.3894959709862693</v>
      </c>
      <c r="J101" s="24">
        <f>SUM(J78:J100)</f>
        <v>6.3894959709862693</v>
      </c>
      <c r="K101" s="22">
        <f>SUM(K78:K100)</f>
        <v>6.4044015811643655</v>
      </c>
      <c r="L101" s="22">
        <f>SUM(L78:L100)</f>
        <v>6.1662627924158748</v>
      </c>
      <c r="M101" s="57">
        <f t="shared" si="40"/>
        <v>6.3894959709862693</v>
      </c>
      <c r="N101" s="5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61"/>
      <c r="B102" s="61"/>
      <c r="C102" s="61"/>
      <c r="D102" s="10"/>
      <c r="E102" s="11"/>
      <c r="F102" s="11"/>
      <c r="G102" s="11"/>
      <c r="H102" s="10"/>
      <c r="I102" s="11"/>
      <c r="J102" s="62"/>
      <c r="K102" s="14"/>
      <c r="L102" s="11"/>
      <c r="M102" s="63"/>
      <c r="N102" s="5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>
      <c r="A103" s="55" t="str">
        <f>A54</f>
        <v>Expenditure : Poor HHs</v>
      </c>
      <c r="B103" s="56"/>
      <c r="C103" s="56"/>
      <c r="D103" s="31"/>
      <c r="E103" s="2"/>
      <c r="F103" s="2"/>
      <c r="G103" s="2"/>
      <c r="H103" s="31"/>
      <c r="I103" s="22"/>
      <c r="J103" s="18"/>
      <c r="L103" s="2"/>
      <c r="M103" s="57"/>
      <c r="N103" s="5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2"/>
      <c r="AC103" s="2"/>
      <c r="AD103" s="2"/>
      <c r="AE103" s="2"/>
      <c r="AF103" s="2"/>
      <c r="AG103" s="2"/>
      <c r="AM103" s="21"/>
      <c r="AN103" s="21"/>
      <c r="AO103" s="21"/>
      <c r="AV103" s="21"/>
      <c r="AW103" s="21"/>
      <c r="AX103" s="21"/>
      <c r="BC103" s="21"/>
      <c r="BD103" s="21"/>
      <c r="BE103" s="21"/>
      <c r="BL103" s="21"/>
      <c r="BM103" s="21"/>
      <c r="BN103" s="21"/>
      <c r="BS103" s="21"/>
      <c r="BT103" s="21"/>
      <c r="BU103" s="21"/>
      <c r="CA103" s="21"/>
      <c r="CB103" s="21"/>
      <c r="CC103" s="21"/>
      <c r="CH103" s="21"/>
      <c r="CI103" s="21"/>
      <c r="CJ103" s="21"/>
    </row>
    <row r="104" spans="1:88" ht="14" customHeight="1">
      <c r="A104" s="56"/>
      <c r="B104" s="59" t="s">
        <v>7</v>
      </c>
      <c r="C104" s="56"/>
      <c r="D104" s="16"/>
      <c r="H104" s="16" t="s">
        <v>12</v>
      </c>
      <c r="I104" s="19" t="s">
        <v>13</v>
      </c>
      <c r="J104" s="16" t="s">
        <v>14</v>
      </c>
      <c r="K104" s="19" t="s">
        <v>7</v>
      </c>
      <c r="L104" s="19" t="s">
        <v>15</v>
      </c>
      <c r="M104" s="57" t="str">
        <f t="shared" ref="M104:M112" si="49">(J104)</f>
        <v>Curr.</v>
      </c>
      <c r="N104" s="5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">
        <v>45</v>
      </c>
      <c r="B105" s="59" t="s">
        <v>35</v>
      </c>
      <c r="C105" s="56"/>
      <c r="D105" s="31"/>
      <c r="H105" s="16" t="s">
        <v>18</v>
      </c>
      <c r="I105" s="19" t="s">
        <v>35</v>
      </c>
      <c r="J105" s="16" t="s">
        <v>35</v>
      </c>
      <c r="K105" s="19" t="s">
        <v>35</v>
      </c>
      <c r="L105" s="19" t="s">
        <v>19</v>
      </c>
      <c r="M105" s="57" t="str">
        <f t="shared" si="49"/>
        <v>Expend</v>
      </c>
      <c r="N105" s="5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2"/>
      <c r="AC105" s="2"/>
      <c r="AD105" s="2"/>
      <c r="AE105" s="2"/>
      <c r="AF105" s="2"/>
      <c r="AG105" s="2"/>
    </row>
    <row r="106" spans="1:88" ht="14" customHeight="1">
      <c r="A106" s="64" t="s">
        <v>132</v>
      </c>
      <c r="B106" s="60">
        <f>B57/B$70</f>
        <v>2.2282380850336865</v>
      </c>
      <c r="C106" s="56"/>
      <c r="D106" s="24"/>
      <c r="H106" s="97">
        <f>(E57*F57/G$29*F$7/F$9)</f>
        <v>1.0178571428571426</v>
      </c>
      <c r="I106" s="29">
        <f>IF(SUMPRODUCT($B$106:$B106,$H$106:$H106)&lt;I$101,($B106*$H106),I$101)</f>
        <v>2.268028050837859</v>
      </c>
      <c r="J106" s="238">
        <f>IF(SUMPRODUCT($B$106:$B106,$H$106:$H106)&lt;J$101,($B106*$H106),J$101)</f>
        <v>2.268028050837859</v>
      </c>
      <c r="K106" s="29">
        <f>(B106)</f>
        <v>2.2282380850336865</v>
      </c>
      <c r="L106" s="29">
        <f>IF(SUMPRODUCT($B$106:$B106,$H$106:$H106)&lt;L$101,($B106*$H106),L$101)</f>
        <v>2.268028050837859</v>
      </c>
      <c r="M106" s="239">
        <f t="shared" si="49"/>
        <v>2.268028050837859</v>
      </c>
      <c r="N106" s="5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2"/>
      <c r="AC106" s="2"/>
      <c r="AD106" s="2"/>
      <c r="AE106" s="2"/>
      <c r="AF106" s="2"/>
      <c r="AG106" s="2"/>
    </row>
    <row r="107" spans="1:88" ht="14" customHeight="1">
      <c r="A107" s="64" t="s">
        <v>133</v>
      </c>
      <c r="B107" s="60">
        <f>B58/B$70</f>
        <v>1.7095313866025659</v>
      </c>
      <c r="C107" s="56"/>
      <c r="D107" s="24"/>
      <c r="H107" s="97">
        <f>(E58*F58/G$29*F$7/F$9)</f>
        <v>0.99107142857142871</v>
      </c>
      <c r="I107" s="29">
        <f>IF(SUMPRODUCT($B$106:$B107,$H$106:$H107)&lt;I$101,($B107*$H107),IF(SUMPRODUCT($B$106:$B106,$H$106:$H106)&lt;I$101,I$101-SUMPRODUCT($B$106:$B106,$H$106:$H106),0))</f>
        <v>1.6942677135079003</v>
      </c>
      <c r="J107" s="238">
        <f>IF(SUMPRODUCT($B$106:$B107,$H$106:$H107)&lt;J$101,($B107*$H107),IF(SUMPRODUCT($B$106:$B106,$H$106:$H106)&lt;J$101,J$101-SUMPRODUCT($B$106:$B106,$H$106:$H106),0))</f>
        <v>1.6942677135079003</v>
      </c>
      <c r="K107" s="29">
        <f>(B107)</f>
        <v>1.7095313866025659</v>
      </c>
      <c r="L107" s="29">
        <f>IF(SUMPRODUCT($B$106:$B107,$H$106:$H107)&lt;L$101,($B107*$H107),IF(SUMPRODUCT($B$106:$B106,$H$106:$H106)&lt;L$101,L$101-SUMPRODUCT($B$106:$B106,$H$106:$H106),0))</f>
        <v>1.6942677135079003</v>
      </c>
      <c r="M107" s="239">
        <f t="shared" si="49"/>
        <v>1.6942677135079003</v>
      </c>
      <c r="N107" s="58"/>
      <c r="Q107" s="2"/>
      <c r="R107" s="22"/>
      <c r="S107" s="2"/>
      <c r="T107" s="2"/>
      <c r="U107" s="2"/>
      <c r="V107" s="2"/>
      <c r="W107" s="2"/>
      <c r="X107" s="2"/>
      <c r="Y107" s="2"/>
      <c r="Z107" s="2"/>
      <c r="AA107" s="2"/>
      <c r="AB107" s="22"/>
      <c r="AC107" s="2"/>
      <c r="AD107" s="2"/>
      <c r="AE107" s="2"/>
      <c r="AF107" s="2"/>
      <c r="AG107" s="2"/>
    </row>
    <row r="108" spans="1:88" ht="14" customHeight="1">
      <c r="A108" s="64" t="s">
        <v>134</v>
      </c>
      <c r="B108" s="60">
        <f t="shared" ref="B108:B109" si="50">B59/B$70</f>
        <v>3.0444992376263427</v>
      </c>
      <c r="C108" s="56"/>
      <c r="D108" s="24"/>
      <c r="H108" s="97">
        <f t="shared" ref="H108:H109" si="51">(E59*F59/G$29*F$7/F$9)</f>
        <v>0.99107142857142871</v>
      </c>
      <c r="I108" s="29">
        <f>IF(SUMPRODUCT($B$106:$B108,$H$106:$H108)&lt;(I$101-I$110),($B108*$H108),IF(SUMPRODUCT($B$106:$B107,$H$106:$H107)&lt;(I$101-I$110),I$101-I$110-SUMPRODUCT($B$106:$B107,$H$106:$H107),0))</f>
        <v>0</v>
      </c>
      <c r="J108" s="238">
        <f>IF(SUMPRODUCT($B$106:$B108,$H$106:$H108)&lt;(J$101-J$110),($B108*$H108),IF(SUMPRODUCT($B$106:$B107,$H$106:$H107)&lt;(J$101-J$110),J$101-J$110-SUMPRODUCT($B$106:$B107,$H$106:$H107),0))</f>
        <v>2.0587792391169906</v>
      </c>
      <c r="K108" s="29">
        <f t="shared" ref="K108:K109" si="52">(B108)</f>
        <v>3.0444992376263427</v>
      </c>
      <c r="L108" s="29">
        <f>IF(SUMPRODUCT($B$106:$B108,$H$106:$H108)&lt;(L$101-L$110),($B108*$H108),IF(SUMPRODUCT($B$106:$B107,$H$106:$H107)&lt;(L$101-L$110),L$101-L$110-SUMPRODUCT($B$106:$B107,$H$106:$H107),0))</f>
        <v>1.5504366159289029</v>
      </c>
      <c r="M108" s="239">
        <f t="shared" si="49"/>
        <v>2.0587792391169906</v>
      </c>
      <c r="N108" s="58"/>
      <c r="Q108" s="2"/>
      <c r="R108" s="22"/>
      <c r="S108" s="2"/>
      <c r="T108" s="2"/>
      <c r="U108" s="2"/>
      <c r="V108" s="2"/>
      <c r="W108" s="2"/>
      <c r="X108" s="2"/>
      <c r="Y108" s="2"/>
      <c r="Z108" s="2"/>
      <c r="AA108" s="2"/>
      <c r="AB108" s="22"/>
      <c r="AC108" s="2"/>
      <c r="AD108" s="2"/>
      <c r="AE108" s="2"/>
      <c r="AF108" s="2"/>
      <c r="AG108" s="2"/>
    </row>
    <row r="109" spans="1:88" ht="14" customHeight="1">
      <c r="A109" s="64" t="s">
        <v>135</v>
      </c>
      <c r="B109" s="60">
        <f t="shared" si="50"/>
        <v>0.37310039676793416</v>
      </c>
      <c r="C109" s="56"/>
      <c r="D109" s="24"/>
      <c r="H109" s="97">
        <f t="shared" si="51"/>
        <v>0.99107142857142871</v>
      </c>
      <c r="I109" s="29">
        <f>IF(SUMPRODUCT($B$106:$B109,$H$106:$H109)&lt;(I$101-I$110),($B109*$H109),IF(SUMPRODUCT($B$106:$B108,$H$106:$H108)&lt;(I$101-I110),I$101-I$110-SUMPRODUCT($B$106:$B108,$H$106:$H108),0))</f>
        <v>0</v>
      </c>
      <c r="J109" s="238">
        <f>IF(SUMPRODUCT($B$106:$B109,$H$106:$H109)&lt;(J$101-J$110),($B109*$H109),IF(SUMPRODUCT($B$106:$B108,$H$106:$H108)&lt;(J$101-J110),J$101-J$110-SUMPRODUCT($B$106:$B108,$H$106:$H108),0))</f>
        <v>0</v>
      </c>
      <c r="K109" s="29">
        <f t="shared" si="52"/>
        <v>0.37310039676793416</v>
      </c>
      <c r="L109" s="29">
        <f>IF(SUMPRODUCT($B$106:$B109,$H$106:$H109)&lt;(L$101-L$110),($B109*$H109),IF(SUMPRODUCT($B$106:$B108,$H$106:$H108)&lt;(L$101-L110),L$101-L$110-SUMPRODUCT($B$106:$B108,$H$106:$H108),0))</f>
        <v>0</v>
      </c>
      <c r="M109" s="239">
        <f t="shared" si="49"/>
        <v>0</v>
      </c>
      <c r="N109" s="58"/>
      <c r="Q109" s="2"/>
      <c r="R109" s="22"/>
      <c r="S109" s="2"/>
      <c r="T109" s="2"/>
      <c r="U109" s="2"/>
      <c r="V109" s="2"/>
      <c r="W109" s="2"/>
      <c r="X109" s="2"/>
      <c r="Y109" s="2"/>
      <c r="Z109" s="2"/>
      <c r="AA109" s="2"/>
      <c r="AB109" s="22"/>
      <c r="AC109" s="2"/>
      <c r="AD109" s="2"/>
      <c r="AE109" s="2"/>
      <c r="AF109" s="2"/>
      <c r="AG109" s="2"/>
    </row>
    <row r="110" spans="1:88" ht="14" customHeight="1">
      <c r="A110" s="56" t="s">
        <v>36</v>
      </c>
      <c r="B110" s="29">
        <f>(B22)</f>
        <v>0.70012455168119558</v>
      </c>
      <c r="C110" s="56"/>
      <c r="D110" s="31"/>
      <c r="E110" s="2"/>
      <c r="F110" s="2"/>
      <c r="G110" s="2"/>
      <c r="H110" s="24"/>
      <c r="I110" s="29">
        <f>(I22)</f>
        <v>2.4272002066405101</v>
      </c>
      <c r="J110" s="232">
        <f>(J22)</f>
        <v>0.36842096752351905</v>
      </c>
      <c r="K110" s="29">
        <f>(B110)</f>
        <v>0.70012455168119558</v>
      </c>
      <c r="L110" s="29">
        <f>IF(L106=L101,0,(L101-L106)/(B101-B106)*K110)</f>
        <v>0.65353041214121266</v>
      </c>
      <c r="M110" s="239">
        <f t="shared" si="49"/>
        <v>0.36842096752351905</v>
      </c>
      <c r="N110" s="5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2"/>
      <c r="AC110" s="2"/>
      <c r="AD110" s="2"/>
      <c r="AE110" s="2"/>
      <c r="AF110" s="2"/>
      <c r="AG110" s="2"/>
    </row>
    <row r="111" spans="1:88" ht="14" customHeight="1">
      <c r="A111" s="56" t="s">
        <v>56</v>
      </c>
      <c r="B111" s="29">
        <f>(B112-B106-B107-B108-B109-B110)</f>
        <v>-1.6510920765473598</v>
      </c>
      <c r="C111" s="56"/>
      <c r="D111" s="31"/>
      <c r="E111" s="2"/>
      <c r="F111" s="2"/>
      <c r="G111" s="2"/>
      <c r="H111" s="24"/>
      <c r="I111" s="29"/>
      <c r="J111" s="232">
        <f>(J112-J106-J107-J108-J109-J110)</f>
        <v>0</v>
      </c>
      <c r="K111" s="29">
        <f>(B111)</f>
        <v>-1.6510920765473598</v>
      </c>
      <c r="L111" s="60">
        <f>(L112-L106-L107-L108-L109-L110)</f>
        <v>0</v>
      </c>
      <c r="M111" s="239">
        <f t="shared" si="49"/>
        <v>0</v>
      </c>
      <c r="N111" s="5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2"/>
      <c r="AC111" s="2"/>
      <c r="AD111" s="2"/>
      <c r="AE111" s="2"/>
      <c r="AF111" s="2"/>
      <c r="AG111" s="2"/>
    </row>
    <row r="112" spans="1:88" ht="14" customHeight="1">
      <c r="A112" s="56" t="s">
        <v>32</v>
      </c>
      <c r="B112" s="29">
        <f>(B101)</f>
        <v>6.4044015811643655</v>
      </c>
      <c r="C112" s="56"/>
      <c r="D112" s="31"/>
      <c r="E112" s="2"/>
      <c r="F112" s="2"/>
      <c r="G112" s="2"/>
      <c r="H112" s="24"/>
      <c r="I112" s="29">
        <f>(I101)</f>
        <v>6.3894959709862693</v>
      </c>
      <c r="J112" s="232">
        <f>(J101)</f>
        <v>6.3894959709862693</v>
      </c>
      <c r="K112" s="29">
        <f>(B112)</f>
        <v>6.4044015811643655</v>
      </c>
      <c r="L112" s="29">
        <f>(L101)</f>
        <v>6.1662627924158748</v>
      </c>
      <c r="M112" s="239">
        <f t="shared" si="49"/>
        <v>6.3894959709862693</v>
      </c>
      <c r="N112" s="5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2"/>
      <c r="AC112" s="2"/>
      <c r="AD112" s="2"/>
      <c r="AE112" s="2"/>
      <c r="AF112" s="2"/>
      <c r="AG112" s="2"/>
    </row>
    <row r="113" spans="1:33" ht="14" customHeight="1">
      <c r="A113" s="56" t="s">
        <v>37</v>
      </c>
      <c r="B113" s="29"/>
      <c r="C113" s="56"/>
      <c r="D113" s="31"/>
      <c r="E113" s="2"/>
      <c r="F113" s="2"/>
      <c r="G113" s="2"/>
      <c r="H113" s="24"/>
      <c r="I113" s="29">
        <f>IF(SUMPRODUCT($B106:$B109,$H106:$H109)&gt;(I101-I110),SUMPRODUCT($B106:$B109,$H106:$H109)+I110-I101,0)</f>
        <v>3.3870853519443287</v>
      </c>
      <c r="J113" s="238">
        <f>IF(SUMPRODUCT($B106:$B109,$H106:$H109)&gt;(J101-J110),SUMPRODUCT($B106:$B109,$H106:$H109)+J110-J101,0)</f>
        <v>1.3283061128273381</v>
      </c>
      <c r="K113" s="29"/>
      <c r="L113" s="29">
        <f>I113-(SUM(L108:L109))</f>
        <v>1.8366487360154258</v>
      </c>
      <c r="M113" s="238">
        <f>I113-(SUM(M108:M109))</f>
        <v>1.3283061128273381</v>
      </c>
      <c r="N113" s="5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2"/>
      <c r="AC113" s="2"/>
      <c r="AD113" s="2"/>
      <c r="AE113" s="2"/>
      <c r="AF113" s="2"/>
      <c r="AG113" s="2"/>
    </row>
    <row r="114" spans="1:33" ht="14" customHeight="1">
      <c r="A114" s="54"/>
      <c r="B114" s="54"/>
      <c r="C114" s="54"/>
      <c r="D114" s="12"/>
      <c r="E114" s="14"/>
      <c r="F114" s="14"/>
      <c r="G114" s="14"/>
      <c r="H114" s="12"/>
      <c r="I114" s="14"/>
      <c r="J114" s="12"/>
      <c r="K114" s="14"/>
      <c r="L114" s="14"/>
      <c r="M114" s="66"/>
      <c r="N114" s="58"/>
    </row>
    <row r="124" spans="1:33">
      <c r="A124" s="56"/>
      <c r="B124" s="56"/>
      <c r="C124" s="56"/>
      <c r="D124" s="2"/>
      <c r="E124" s="2"/>
      <c r="F124" s="2"/>
      <c r="G124" s="2"/>
      <c r="H124" s="2"/>
      <c r="I124" s="2"/>
      <c r="J124" s="2"/>
      <c r="L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1:33">
      <c r="B125" s="29"/>
      <c r="C125" s="29"/>
      <c r="D125" s="2"/>
      <c r="E125" s="2"/>
      <c r="F125" s="2"/>
      <c r="G125" s="2"/>
      <c r="H125" s="2"/>
      <c r="I125" s="22"/>
      <c r="J125" s="2"/>
      <c r="L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68"/>
      <c r="AC125" s="2"/>
      <c r="AD125" s="2"/>
      <c r="AE125" s="2"/>
      <c r="AF125" s="2"/>
      <c r="AG125" s="2"/>
    </row>
    <row r="126" spans="1:33">
      <c r="B126" s="29"/>
      <c r="C126" s="29"/>
      <c r="D126" s="2"/>
      <c r="E126" s="2"/>
      <c r="F126" s="2"/>
      <c r="G126" s="2"/>
      <c r="H126" s="2"/>
      <c r="I126" s="2"/>
      <c r="J126" s="2"/>
      <c r="L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68"/>
      <c r="AC126" s="2"/>
      <c r="AD126" s="2"/>
      <c r="AE126" s="2"/>
      <c r="AF126" s="2"/>
      <c r="AG126" s="2"/>
    </row>
    <row r="127" spans="1:33">
      <c r="B127" s="29"/>
      <c r="C127" s="29"/>
      <c r="D127" s="2"/>
      <c r="E127" s="2"/>
      <c r="F127" s="2"/>
      <c r="G127" s="2"/>
      <c r="H127" s="2"/>
      <c r="I127" s="22"/>
      <c r="J127" s="2"/>
      <c r="L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68"/>
      <c r="AC127" s="2"/>
      <c r="AD127" s="2"/>
      <c r="AE127" s="2"/>
      <c r="AF127" s="2"/>
      <c r="AG127" s="2"/>
    </row>
    <row r="128" spans="1:33">
      <c r="B128" s="56"/>
      <c r="C128" s="56"/>
      <c r="D128" s="2"/>
      <c r="E128" s="2"/>
      <c r="F128" s="2"/>
      <c r="G128" s="2"/>
      <c r="H128" s="2"/>
      <c r="I128" s="2"/>
      <c r="J128" s="2"/>
      <c r="L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68"/>
      <c r="AC128" s="2"/>
      <c r="AD128" s="2"/>
      <c r="AE128" s="2"/>
      <c r="AF128" s="2"/>
      <c r="AG128" s="2"/>
    </row>
    <row r="129" spans="1:33">
      <c r="B129" s="29"/>
      <c r="C129" s="29"/>
      <c r="D129" s="2"/>
      <c r="E129" s="2"/>
      <c r="F129" s="2"/>
      <c r="G129" s="2"/>
      <c r="H129" s="2"/>
      <c r="I129" s="2"/>
      <c r="J129" s="2"/>
      <c r="L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68"/>
      <c r="AC129" s="2"/>
      <c r="AD129" s="2"/>
      <c r="AE129" s="2"/>
      <c r="AF129" s="2"/>
      <c r="AG129" s="2"/>
    </row>
    <row r="130" spans="1:33">
      <c r="B130" s="29"/>
      <c r="C130" s="29"/>
      <c r="D130" s="2"/>
      <c r="E130" s="2"/>
      <c r="F130" s="2"/>
      <c r="G130" s="2"/>
      <c r="H130" s="2"/>
      <c r="I130" s="2"/>
      <c r="J130" s="2"/>
      <c r="L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68"/>
      <c r="AC130" s="2"/>
      <c r="AD130" s="2"/>
      <c r="AE130" s="2"/>
      <c r="AF130" s="2"/>
      <c r="AG130" s="2"/>
    </row>
    <row r="131" spans="1:33">
      <c r="B131" s="29"/>
      <c r="C131" s="29"/>
      <c r="D131" s="2"/>
      <c r="E131" s="2"/>
      <c r="F131" s="2"/>
      <c r="G131" s="2"/>
      <c r="H131" s="2"/>
      <c r="I131" s="2"/>
      <c r="J131" s="2"/>
      <c r="L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68"/>
      <c r="AC131" s="2"/>
      <c r="AD131" s="2"/>
      <c r="AE131" s="2"/>
      <c r="AF131" s="2"/>
      <c r="AG131" s="2"/>
    </row>
    <row r="132" spans="1:33">
      <c r="B132" s="29"/>
      <c r="C132" s="29"/>
      <c r="D132" s="2"/>
      <c r="E132" s="2"/>
      <c r="F132" s="2"/>
      <c r="G132" s="2"/>
      <c r="H132" s="2"/>
      <c r="I132" s="2"/>
      <c r="J132" s="2"/>
      <c r="L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68"/>
      <c r="AC132" s="2"/>
      <c r="AD132" s="2"/>
      <c r="AE132" s="2"/>
      <c r="AF132" s="2"/>
      <c r="AG132" s="2"/>
    </row>
    <row r="133" spans="1:33">
      <c r="B133" s="29"/>
      <c r="C133" s="29"/>
      <c r="D133" s="2"/>
      <c r="E133" s="2"/>
      <c r="F133" s="2"/>
      <c r="G133" s="2"/>
      <c r="H133" s="2"/>
      <c r="I133" s="2"/>
      <c r="J133" s="2"/>
      <c r="L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68"/>
      <c r="AC133" s="2"/>
      <c r="AD133" s="2"/>
      <c r="AE133" s="2"/>
      <c r="AF133" s="2"/>
      <c r="AG133" s="2"/>
    </row>
    <row r="134" spans="1:33">
      <c r="B134" s="29"/>
      <c r="C134" s="29"/>
      <c r="D134" s="2"/>
      <c r="E134" s="2"/>
      <c r="F134" s="2"/>
      <c r="G134" s="2"/>
      <c r="H134" s="2"/>
      <c r="I134" s="2"/>
      <c r="J134" s="2"/>
      <c r="L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68"/>
      <c r="AC134" s="2"/>
      <c r="AD134" s="2"/>
      <c r="AE134" s="2"/>
      <c r="AF134" s="2"/>
      <c r="AG134" s="2"/>
    </row>
    <row r="135" spans="1:33">
      <c r="A135" s="56"/>
      <c r="B135" s="56"/>
      <c r="C135" s="56"/>
      <c r="D135" s="2"/>
      <c r="E135" s="2"/>
      <c r="F135" s="2"/>
      <c r="G135" s="2"/>
      <c r="H135" s="2"/>
      <c r="I135" s="2"/>
      <c r="J135" s="2"/>
      <c r="L135" s="2"/>
      <c r="O135" s="2"/>
      <c r="P135" s="2"/>
      <c r="Q135" s="2"/>
      <c r="R135" s="2"/>
      <c r="S135" s="2"/>
      <c r="T135" s="2"/>
      <c r="U135" s="2"/>
      <c r="V135" s="2"/>
      <c r="W135" s="69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1:33">
      <c r="A136" s="70"/>
      <c r="B136" s="56"/>
      <c r="C136" s="56"/>
      <c r="D136" s="2"/>
      <c r="E136" s="2"/>
      <c r="F136" s="2"/>
      <c r="H136" s="2"/>
      <c r="I136" s="2"/>
      <c r="J136" s="2"/>
      <c r="L136" s="2"/>
      <c r="W136" s="71"/>
    </row>
    <row r="137" spans="1:33">
      <c r="A137" s="56"/>
      <c r="B137" s="56"/>
      <c r="C137" s="56"/>
      <c r="D137" s="2"/>
      <c r="E137" s="2"/>
      <c r="F137" s="2"/>
      <c r="H137" s="2"/>
      <c r="I137" s="2"/>
      <c r="J137" s="2"/>
      <c r="L137" s="2"/>
      <c r="W137" s="71"/>
    </row>
    <row r="138" spans="1:33">
      <c r="A138" s="56"/>
      <c r="B138" s="56"/>
      <c r="C138" s="56"/>
      <c r="D138" s="2"/>
      <c r="E138" s="2"/>
      <c r="F138" s="2"/>
      <c r="H138" s="2"/>
      <c r="I138" s="2"/>
      <c r="J138" s="2"/>
      <c r="L138" s="2"/>
      <c r="W138" s="71"/>
    </row>
    <row r="139" spans="1:33">
      <c r="A139" s="29"/>
      <c r="B139" s="56"/>
      <c r="C139" s="56"/>
      <c r="D139" s="2"/>
      <c r="E139" s="2"/>
      <c r="F139" s="2"/>
      <c r="H139" s="2"/>
      <c r="I139" s="2"/>
      <c r="J139" s="2"/>
      <c r="L139" s="2"/>
      <c r="W139" s="71"/>
    </row>
    <row r="140" spans="1:33">
      <c r="A140" s="56"/>
      <c r="B140" s="56"/>
      <c r="C140" s="56"/>
      <c r="D140" s="2"/>
      <c r="E140" s="2"/>
      <c r="F140" s="2"/>
      <c r="H140" s="2"/>
      <c r="I140" s="2"/>
      <c r="J140" s="2"/>
      <c r="L140" s="2"/>
      <c r="W140" s="71"/>
    </row>
    <row r="141" spans="1:33">
      <c r="A141" s="56"/>
      <c r="B141" s="56"/>
      <c r="C141" s="56"/>
      <c r="D141" s="2"/>
      <c r="E141" s="2"/>
      <c r="F141" s="2"/>
      <c r="H141" s="2"/>
      <c r="I141" s="2"/>
      <c r="J141" s="2"/>
      <c r="L141" s="2"/>
    </row>
    <row r="142" spans="1:33">
      <c r="A142" s="56"/>
      <c r="B142" s="56"/>
      <c r="C142" s="56"/>
      <c r="D142" s="2"/>
      <c r="E142" s="2"/>
      <c r="F142" s="2"/>
      <c r="H142" s="2"/>
      <c r="I142" s="2"/>
      <c r="J142" s="2"/>
      <c r="L142" s="2"/>
    </row>
    <row r="143" spans="1:33">
      <c r="A143" s="56"/>
      <c r="B143" s="56"/>
      <c r="C143" s="56"/>
      <c r="D143" s="2"/>
      <c r="E143" s="2"/>
      <c r="F143" s="2"/>
      <c r="H143" s="2"/>
      <c r="I143" s="2"/>
      <c r="J143" s="2"/>
      <c r="L143" s="2"/>
      <c r="AB143" s="71"/>
    </row>
    <row r="144" spans="1:33">
      <c r="A144" s="56"/>
      <c r="B144" s="56"/>
      <c r="C144" s="56"/>
      <c r="D144" s="2"/>
      <c r="E144" s="2"/>
      <c r="F144" s="2"/>
      <c r="H144" s="2"/>
      <c r="I144" s="2"/>
      <c r="J144" s="2"/>
      <c r="L144" s="2"/>
      <c r="AB144" s="71"/>
    </row>
    <row r="145" spans="1:28">
      <c r="A145" s="56"/>
      <c r="B145" s="56"/>
      <c r="C145" s="56"/>
      <c r="D145" s="2"/>
      <c r="E145" s="2"/>
      <c r="F145" s="2"/>
      <c r="H145" s="2"/>
      <c r="I145" s="2"/>
      <c r="J145" s="2"/>
      <c r="L145" s="2"/>
      <c r="AB145" s="71"/>
    </row>
    <row r="146" spans="1:28">
      <c r="A146" s="56"/>
      <c r="B146" s="56"/>
      <c r="C146" s="56"/>
      <c r="D146" s="2"/>
      <c r="E146" s="2"/>
      <c r="F146" s="2"/>
      <c r="H146" s="2"/>
      <c r="I146" s="2"/>
      <c r="J146" s="2"/>
      <c r="L146" s="2"/>
      <c r="AB146" s="71"/>
    </row>
    <row r="147" spans="1:28">
      <c r="A147" s="56"/>
      <c r="B147" s="56"/>
      <c r="C147" s="56"/>
      <c r="D147" s="2"/>
      <c r="E147" s="2"/>
      <c r="F147" s="2"/>
      <c r="H147" s="2"/>
      <c r="I147" s="2"/>
      <c r="J147" s="2"/>
      <c r="L147" s="2"/>
      <c r="W147" s="72"/>
      <c r="AB147" s="71"/>
    </row>
    <row r="148" spans="1:28">
      <c r="A148" s="56"/>
      <c r="B148" s="56"/>
      <c r="C148" s="56"/>
      <c r="D148" s="2"/>
      <c r="E148" s="2"/>
      <c r="F148" s="2"/>
      <c r="H148" s="2"/>
      <c r="I148" s="2"/>
      <c r="J148" s="2"/>
      <c r="L148" s="2"/>
      <c r="W148" s="72"/>
      <c r="AB148" s="71"/>
    </row>
    <row r="149" spans="1:28">
      <c r="A149" s="56"/>
      <c r="B149" s="56"/>
      <c r="C149" s="56"/>
      <c r="D149" s="2"/>
      <c r="E149" s="2"/>
      <c r="F149" s="2"/>
      <c r="H149" s="2"/>
      <c r="I149" s="2"/>
      <c r="J149" s="2"/>
      <c r="L149" s="2"/>
      <c r="AB149" s="71"/>
    </row>
    <row r="150" spans="1:28">
      <c r="A150" s="56"/>
      <c r="B150" s="56"/>
      <c r="C150" s="56"/>
      <c r="D150" s="2"/>
      <c r="E150" s="2"/>
      <c r="F150" s="2"/>
      <c r="H150" s="2"/>
      <c r="I150" s="2"/>
      <c r="J150" s="2"/>
      <c r="L150" s="2"/>
      <c r="AB150" s="71"/>
    </row>
    <row r="151" spans="1:28">
      <c r="A151" s="56"/>
      <c r="B151" s="56"/>
      <c r="C151" s="56"/>
      <c r="D151" s="2"/>
      <c r="E151" s="2"/>
      <c r="F151" s="2"/>
      <c r="H151" s="2"/>
      <c r="I151" s="2"/>
      <c r="J151" s="2"/>
      <c r="L151" s="2"/>
      <c r="AB151" s="71"/>
    </row>
    <row r="152" spans="1:28">
      <c r="A152" s="56"/>
      <c r="B152" s="56"/>
      <c r="C152" s="56"/>
      <c r="D152" s="2"/>
      <c r="E152" s="2"/>
      <c r="F152" s="2"/>
      <c r="H152" s="2"/>
      <c r="I152" s="2"/>
      <c r="J152" s="2"/>
      <c r="L152" s="2"/>
    </row>
    <row r="153" spans="1:28">
      <c r="A153" s="56"/>
      <c r="B153" s="56"/>
      <c r="C153" s="56"/>
      <c r="D153" s="2"/>
      <c r="E153" s="2"/>
      <c r="F153" s="2"/>
      <c r="H153" s="2"/>
      <c r="I153" s="2"/>
      <c r="J153" s="2"/>
      <c r="L153" s="2"/>
      <c r="W153" s="72"/>
      <c r="AB153" s="71"/>
    </row>
    <row r="154" spans="1:28">
      <c r="A154" s="56"/>
      <c r="B154" s="56"/>
      <c r="C154" s="56"/>
      <c r="D154" s="2"/>
      <c r="E154" s="2"/>
      <c r="F154" s="2"/>
      <c r="H154" s="2"/>
      <c r="I154" s="2"/>
      <c r="J154" s="2"/>
      <c r="L154" s="2"/>
      <c r="W154" s="72"/>
    </row>
    <row r="155" spans="1:28">
      <c r="A155" s="56"/>
      <c r="B155" s="56"/>
      <c r="C155" s="56"/>
      <c r="D155" s="2"/>
      <c r="E155" s="2"/>
      <c r="F155" s="2"/>
      <c r="H155" s="2"/>
      <c r="I155" s="2"/>
      <c r="J155" s="2"/>
      <c r="L155" s="2"/>
    </row>
    <row r="156" spans="1:28">
      <c r="A156" s="56"/>
      <c r="B156" s="56"/>
      <c r="C156" s="56"/>
      <c r="D156" s="2"/>
      <c r="E156" s="2"/>
      <c r="F156" s="2"/>
      <c r="H156" s="2"/>
      <c r="I156" s="2"/>
      <c r="J156" s="2"/>
      <c r="L156" s="2"/>
    </row>
    <row r="157" spans="1:28">
      <c r="A157" s="56"/>
      <c r="B157" s="56"/>
      <c r="C157" s="56"/>
      <c r="D157" s="2"/>
      <c r="E157" s="2"/>
      <c r="F157" s="2"/>
      <c r="H157" s="2"/>
      <c r="I157" s="2"/>
      <c r="J157" s="2"/>
      <c r="L157" s="2"/>
      <c r="AB157" s="71"/>
    </row>
    <row r="158" spans="1:28">
      <c r="A158" s="56"/>
      <c r="B158" s="56"/>
      <c r="C158" s="56"/>
      <c r="D158" s="2"/>
      <c r="E158" s="2"/>
      <c r="F158" s="2"/>
      <c r="H158" s="2"/>
      <c r="I158" s="2"/>
      <c r="J158" s="2"/>
      <c r="L158" s="2"/>
      <c r="AB158" s="71"/>
    </row>
    <row r="159" spans="1:28">
      <c r="A159" s="56"/>
      <c r="B159" s="56"/>
      <c r="C159" s="56"/>
      <c r="D159" s="2"/>
      <c r="E159" s="2"/>
      <c r="F159" s="2"/>
      <c r="H159" s="2"/>
      <c r="I159" s="2"/>
      <c r="J159" s="2"/>
      <c r="L159" s="2"/>
      <c r="W159" s="72"/>
      <c r="AB159" s="71"/>
    </row>
    <row r="160" spans="1:28">
      <c r="A160" s="56"/>
      <c r="B160" s="56"/>
      <c r="C160" s="56"/>
      <c r="D160" s="2"/>
      <c r="E160" s="2"/>
      <c r="F160" s="2"/>
      <c r="H160" s="2"/>
      <c r="I160" s="2"/>
      <c r="J160" s="2"/>
      <c r="L160" s="2"/>
      <c r="W160" s="72"/>
      <c r="AB160" s="71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</row>
    <row r="167" spans="1:28">
      <c r="AB167" s="71"/>
    </row>
    <row r="168" spans="1:28">
      <c r="AB168" s="71"/>
    </row>
    <row r="169" spans="1:28">
      <c r="AB169" s="71"/>
    </row>
    <row r="170" spans="1:28">
      <c r="AB170" s="71"/>
    </row>
    <row r="171" spans="1:28">
      <c r="W171" s="72"/>
      <c r="AB171" s="71"/>
    </row>
    <row r="172" spans="1:28">
      <c r="W172" s="72"/>
      <c r="AB172" s="71"/>
    </row>
    <row r="173" spans="1:28">
      <c r="W173" s="72"/>
    </row>
    <row r="175" spans="1:28">
      <c r="AB175" s="71"/>
    </row>
    <row r="176" spans="1:28">
      <c r="AB176" s="71"/>
    </row>
    <row r="177" spans="23:28">
      <c r="AB177" s="71"/>
    </row>
    <row r="178" spans="23:28">
      <c r="AB178" s="71"/>
    </row>
    <row r="179" spans="23:28">
      <c r="AB179" s="71"/>
    </row>
    <row r="180" spans="23:28">
      <c r="W180" s="72"/>
      <c r="AB180" s="71"/>
    </row>
    <row r="181" spans="23:28">
      <c r="W181" s="72"/>
    </row>
    <row r="182" spans="23:28">
      <c r="W182" s="72"/>
    </row>
    <row r="189" spans="23:28">
      <c r="W189" s="72"/>
    </row>
    <row r="190" spans="23:28">
      <c r="W190" s="72"/>
    </row>
    <row r="191" spans="23:28">
      <c r="W191" s="72"/>
    </row>
    <row r="201" spans="23:23">
      <c r="W201" s="72"/>
    </row>
    <row r="202" spans="23:23">
      <c r="W202" s="72"/>
    </row>
    <row r="203" spans="23:23">
      <c r="W203" s="72"/>
    </row>
    <row r="210" spans="23:23">
      <c r="W210" s="72"/>
    </row>
    <row r="211" spans="23:23">
      <c r="W211" s="72"/>
    </row>
    <row r="212" spans="23:23">
      <c r="W212" s="72"/>
    </row>
    <row r="219" spans="23:23">
      <c r="W219" s="72"/>
    </row>
    <row r="220" spans="23:23">
      <c r="W220" s="72"/>
    </row>
    <row r="221" spans="23:23">
      <c r="W221" s="72"/>
    </row>
    <row r="231" spans="23:23">
      <c r="W231" s="72"/>
    </row>
    <row r="232" spans="23:23">
      <c r="W232" s="72"/>
    </row>
    <row r="233" spans="23:23">
      <c r="W233" s="72"/>
    </row>
    <row r="240" spans="23:23">
      <c r="W240" s="72"/>
    </row>
    <row r="241" spans="23:23">
      <c r="W241" s="72"/>
    </row>
    <row r="242" spans="23:23">
      <c r="W242" s="72"/>
    </row>
    <row r="249" spans="23:23">
      <c r="W249" s="72"/>
    </row>
    <row r="250" spans="23:23">
      <c r="W250" s="72"/>
    </row>
    <row r="251" spans="23:23">
      <c r="W251" s="72"/>
    </row>
  </sheetData>
  <sheetProtection sheet="1" objects="1" scenarios="1" formatCells="0" formatColumns="0" formatRow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19" val="1" numFmtId="9"/>
      <inputCells r="E20" val="1" numFmtId="9"/>
      <inputCells r="E21" val="1" numFmtId="9"/>
      <inputCells r="E32" val="1" numFmtId="9"/>
      <inputCells r="E36" val="1" numFmtId="9"/>
      <inputCells r="E37" val="1" numFmtId="9"/>
      <inputCells r="E38" val="1" numFmtId="9"/>
      <inputCells r="E51" val="1" numFmtId="9"/>
      <inputCells r="F30" val="1" numFmtId="9"/>
      <inputCells r="F31" val="2" numFmtId="9"/>
      <inputCells r="F32" val="1.25" numFmtId="9"/>
      <inputCells r="F36" val="1" numFmtId="9"/>
      <inputCells r="F37" val="0.4" numFmtId="9"/>
      <inputCells r="F38" val="1" numFmtId="9"/>
      <inputCells r="F51" val="1" numFmtId="9"/>
      <inputCells r="F29" val="2.5" numFmtId="9"/>
      <inputCells r="G29" val="2" numFmtId="9"/>
      <inputCells r="F57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19" val="1" numFmtId="9"/>
      <inputCells r="E20" val="1" numFmtId="9"/>
      <inputCells r="E21" val="1" numFmtId="9"/>
      <inputCells r="E32" val="1" numFmtId="9"/>
      <inputCells r="E36" val="1" numFmtId="9"/>
      <inputCells r="E37" val="1" numFmtId="9"/>
      <inputCells r="E38" val="1" numFmtId="9"/>
      <inputCells r="E51" val="1" numFmtId="9"/>
      <inputCells r="F29" val="1" numFmtId="9"/>
      <inputCells r="F30" val="1" numFmtId="9"/>
      <inputCells r="F31" val="1" numFmtId="9"/>
      <inputCells r="F32" val="1" numFmtId="9"/>
      <inputCells r="F36" val="1" numFmtId="9"/>
      <inputCells r="F37" val="1" numFmtId="9"/>
      <inputCells r="F38" val="1" numFmtId="9"/>
      <inputCells r="F51" val="1" numFmtId="9"/>
      <inputCells r="G29" val="1" numFmtId="9"/>
      <inputCells r="F57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U7:U22">
    <cfRule type="cellIs" dxfId="255" priority="65" operator="equal">
      <formula>16</formula>
    </cfRule>
    <cfRule type="cellIs" dxfId="254" priority="66" operator="equal">
      <formula>15</formula>
    </cfRule>
    <cfRule type="cellIs" dxfId="253" priority="67" operator="equal">
      <formula>14</formula>
    </cfRule>
    <cfRule type="cellIs" dxfId="252" priority="68" operator="equal">
      <formula>13</formula>
    </cfRule>
    <cfRule type="cellIs" dxfId="251" priority="69" operator="equal">
      <formula>12</formula>
    </cfRule>
    <cfRule type="cellIs" dxfId="250" priority="70" operator="equal">
      <formula>11</formula>
    </cfRule>
    <cfRule type="cellIs" dxfId="249" priority="71" operator="equal">
      <formula>10</formula>
    </cfRule>
    <cfRule type="cellIs" dxfId="248" priority="72" operator="equal">
      <formula>9</formula>
    </cfRule>
    <cfRule type="cellIs" dxfId="247" priority="73" operator="equal">
      <formula>8</formula>
    </cfRule>
    <cfRule type="cellIs" dxfId="246" priority="74" operator="equal">
      <formula>7</formula>
    </cfRule>
    <cfRule type="cellIs" dxfId="245" priority="75" operator="equal">
      <formula>6</formula>
    </cfRule>
    <cfRule type="cellIs" dxfId="244" priority="76" operator="equal">
      <formula>5</formula>
    </cfRule>
    <cfRule type="cellIs" dxfId="243" priority="77" operator="equal">
      <formula>4</formula>
    </cfRule>
    <cfRule type="cellIs" dxfId="242" priority="78" operator="equal">
      <formula>3</formula>
    </cfRule>
    <cfRule type="cellIs" dxfId="241" priority="79" operator="equal">
      <formula>2</formula>
    </cfRule>
    <cfRule type="cellIs" dxfId="240" priority="80" operator="equal">
      <formula>1</formula>
    </cfRule>
  </conditionalFormatting>
  <conditionalFormatting sqref="N6:N21">
    <cfRule type="cellIs" dxfId="239" priority="33" operator="equal">
      <formula>16</formula>
    </cfRule>
    <cfRule type="cellIs" dxfId="238" priority="34" operator="equal">
      <formula>15</formula>
    </cfRule>
    <cfRule type="cellIs" dxfId="237" priority="35" operator="equal">
      <formula>14</formula>
    </cfRule>
    <cfRule type="cellIs" dxfId="236" priority="36" operator="equal">
      <formula>13</formula>
    </cfRule>
    <cfRule type="cellIs" dxfId="235" priority="37" operator="equal">
      <formula>12</formula>
    </cfRule>
    <cfRule type="cellIs" dxfId="234" priority="38" operator="equal">
      <formula>11</formula>
    </cfRule>
    <cfRule type="cellIs" dxfId="233" priority="39" operator="equal">
      <formula>10</formula>
    </cfRule>
    <cfRule type="cellIs" dxfId="232" priority="40" operator="equal">
      <formula>9</formula>
    </cfRule>
    <cfRule type="cellIs" dxfId="231" priority="41" operator="equal">
      <formula>8</formula>
    </cfRule>
    <cfRule type="cellIs" dxfId="230" priority="42" operator="equal">
      <formula>7</formula>
    </cfRule>
    <cfRule type="cellIs" dxfId="229" priority="43" operator="equal">
      <formula>6</formula>
    </cfRule>
    <cfRule type="cellIs" dxfId="228" priority="44" operator="equal">
      <formula>5</formula>
    </cfRule>
    <cfRule type="cellIs" dxfId="227" priority="45" operator="equal">
      <formula>4</formula>
    </cfRule>
    <cfRule type="cellIs" dxfId="226" priority="46" operator="equal">
      <formula>3</formula>
    </cfRule>
    <cfRule type="cellIs" dxfId="225" priority="47" operator="equal">
      <formula>2</formula>
    </cfRule>
    <cfRule type="cellIs" dxfId="224" priority="48" operator="equal">
      <formula>1</formula>
    </cfRule>
  </conditionalFormatting>
  <conditionalFormatting sqref="N78:N91">
    <cfRule type="cellIs" dxfId="223" priority="17" operator="equal">
      <formula>16</formula>
    </cfRule>
    <cfRule type="cellIs" dxfId="222" priority="18" operator="equal">
      <formula>15</formula>
    </cfRule>
    <cfRule type="cellIs" dxfId="221" priority="19" operator="equal">
      <formula>14</formula>
    </cfRule>
    <cfRule type="cellIs" dxfId="220" priority="20" operator="equal">
      <formula>13</formula>
    </cfRule>
    <cfRule type="cellIs" dxfId="219" priority="21" operator="equal">
      <formula>12</formula>
    </cfRule>
    <cfRule type="cellIs" dxfId="218" priority="22" operator="equal">
      <formula>11</formula>
    </cfRule>
    <cfRule type="cellIs" dxfId="217" priority="23" operator="equal">
      <formula>10</formula>
    </cfRule>
    <cfRule type="cellIs" dxfId="216" priority="24" operator="equal">
      <formula>9</formula>
    </cfRule>
    <cfRule type="cellIs" dxfId="215" priority="25" operator="equal">
      <formula>8</formula>
    </cfRule>
    <cfRule type="cellIs" dxfId="214" priority="26" operator="equal">
      <formula>7</formula>
    </cfRule>
    <cfRule type="cellIs" dxfId="213" priority="27" operator="equal">
      <formula>6</formula>
    </cfRule>
    <cfRule type="cellIs" dxfId="212" priority="28" operator="equal">
      <formula>5</formula>
    </cfRule>
    <cfRule type="cellIs" dxfId="211" priority="29" operator="equal">
      <formula>4</formula>
    </cfRule>
    <cfRule type="cellIs" dxfId="210" priority="30" operator="equal">
      <formula>3</formula>
    </cfRule>
    <cfRule type="cellIs" dxfId="209" priority="31" operator="equal">
      <formula>2</formula>
    </cfRule>
    <cfRule type="cellIs" dxfId="208" priority="32" operator="equal">
      <formula>1</formula>
    </cfRule>
  </conditionalFormatting>
  <conditionalFormatting sqref="N92:N100">
    <cfRule type="cellIs" dxfId="207" priority="1" operator="equal">
      <formula>16</formula>
    </cfRule>
    <cfRule type="cellIs" dxfId="206" priority="2" operator="equal">
      <formula>15</formula>
    </cfRule>
    <cfRule type="cellIs" dxfId="205" priority="3" operator="equal">
      <formula>14</formula>
    </cfRule>
    <cfRule type="cellIs" dxfId="204" priority="4" operator="equal">
      <formula>13</formula>
    </cfRule>
    <cfRule type="cellIs" dxfId="203" priority="5" operator="equal">
      <formula>12</formula>
    </cfRule>
    <cfRule type="cellIs" dxfId="202" priority="6" operator="equal">
      <formula>11</formula>
    </cfRule>
    <cfRule type="cellIs" dxfId="201" priority="7" operator="equal">
      <formula>10</formula>
    </cfRule>
    <cfRule type="cellIs" dxfId="200" priority="8" operator="equal">
      <formula>9</formula>
    </cfRule>
    <cfRule type="cellIs" dxfId="199" priority="9" operator="equal">
      <formula>8</formula>
    </cfRule>
    <cfRule type="cellIs" dxfId="198" priority="10" operator="equal">
      <formula>7</formula>
    </cfRule>
    <cfRule type="cellIs" dxfId="197" priority="11" operator="equal">
      <formula>6</formula>
    </cfRule>
    <cfRule type="cellIs" dxfId="196" priority="12" operator="equal">
      <formula>5</formula>
    </cfRule>
    <cfRule type="cellIs" dxfId="195" priority="13" operator="equal">
      <formula>4</formula>
    </cfRule>
    <cfRule type="cellIs" dxfId="194" priority="14" operator="equal">
      <formula>3</formula>
    </cfRule>
    <cfRule type="cellIs" dxfId="193" priority="15" operator="equal">
      <formula>2</formula>
    </cfRule>
    <cfRule type="cellIs" dxfId="19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51"/>
  <sheetViews>
    <sheetView showGridLines="0" workbookViewId="0">
      <pane xSplit="1" ySplit="2" topLeftCell="B37" activePane="bottomRight" state="frozen"/>
      <selection pane="topRight" activeCell="B1" sqref="B1"/>
      <selection pane="bottomLeft" activeCell="A3" sqref="A3"/>
      <selection pane="bottomRight" activeCell="T42" sqref="T42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ZANOC</v>
      </c>
      <c r="B1" s="2"/>
      <c r="C1" s="2"/>
      <c r="D1" s="2"/>
      <c r="E1" s="2" t="s">
        <v>46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09"/>
      <c r="X1" s="113" t="s">
        <v>68</v>
      </c>
      <c r="Y1" s="114" t="s">
        <v>59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6"/>
      <c r="AI1" s="109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09"/>
      <c r="X2" s="117" t="s">
        <v>60</v>
      </c>
      <c r="Y2" s="114" t="s">
        <v>61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6"/>
      <c r="AI2" s="109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47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69</v>
      </c>
      <c r="R3" s="56"/>
      <c r="S3" s="67"/>
      <c r="T3" s="56"/>
      <c r="U3" s="56"/>
      <c r="V3" s="56"/>
      <c r="W3" s="109"/>
      <c r="X3" s="117"/>
      <c r="Y3" s="114" t="s">
        <v>62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70</v>
      </c>
      <c r="R4" s="56"/>
      <c r="S4" s="29"/>
      <c r="T4" s="56"/>
      <c r="U4" s="56"/>
      <c r="V4" s="56"/>
      <c r="W4" s="109"/>
      <c r="X4" s="117"/>
      <c r="Y4" s="114" t="s">
        <v>63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130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0">
        <f>IF([1]Summ!$H1044="",0,[1]Summ!$H1044)</f>
        <v>3.7546699875467E-2</v>
      </c>
      <c r="C6" s="101">
        <f>IF([1]Summ!$I1044="",0,[1]Summ!$I1044)</f>
        <v>0</v>
      </c>
      <c r="D6" s="24">
        <f t="shared" ref="D6:D21" si="0">(B6+C6)</f>
        <v>3.7546699875467E-2</v>
      </c>
      <c r="E6" s="75">
        <f>Poor!E6</f>
        <v>1</v>
      </c>
      <c r="F6" s="2" t="s">
        <v>21</v>
      </c>
      <c r="H6" s="24">
        <f t="shared" ref="H6:H21" si="1">(E6*F$7/F$9)</f>
        <v>1</v>
      </c>
      <c r="I6" s="22">
        <f t="shared" ref="I6:I21" si="2">(D6*H6)</f>
        <v>3.7546699875467E-2</v>
      </c>
      <c r="J6" s="24">
        <f t="shared" ref="J6:J13" si="3">IF(I$24&lt;=1+I$113,I6,B6*H6+J$25*(I6-B6*H6))</f>
        <v>3.7546699875467E-2</v>
      </c>
      <c r="K6" s="22">
        <f t="shared" ref="K6:K23" si="4">B6</f>
        <v>3.7546699875467E-2</v>
      </c>
      <c r="L6" s="22">
        <f t="shared" ref="L6:L21" si="5">IF(K6="","",K6*H6)</f>
        <v>3.7546699875467E-2</v>
      </c>
      <c r="M6" s="228">
        <f t="shared" ref="M6:M23" si="6">J6</f>
        <v>3.7546699875467E-2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71</v>
      </c>
      <c r="T6" s="70" t="s">
        <v>22</v>
      </c>
      <c r="U6" s="56"/>
      <c r="V6" s="56"/>
      <c r="W6" s="114"/>
      <c r="X6" s="117"/>
      <c r="Y6" s="184">
        <f>M6*4</f>
        <v>0.150186799501868</v>
      </c>
      <c r="Z6" s="155">
        <f>Poor!Z6</f>
        <v>0.17</v>
      </c>
      <c r="AA6" s="120">
        <f>$M6*Z6*4</f>
        <v>2.5531755915317561E-2</v>
      </c>
      <c r="AB6" s="155">
        <f>Poor!AB6</f>
        <v>0.17</v>
      </c>
      <c r="AC6" s="120">
        <f t="shared" ref="AC6:AC21" si="7">$M6*AB6*4</f>
        <v>2.5531755915317561E-2</v>
      </c>
      <c r="AD6" s="155">
        <f>Poor!AD6</f>
        <v>0.33</v>
      </c>
      <c r="AE6" s="120">
        <f t="shared" ref="AE6:AE21" si="8">$M6*AD6*4</f>
        <v>4.956164383561644E-2</v>
      </c>
      <c r="AF6" s="121">
        <f>1-SUM(Z6,AB6,AD6)</f>
        <v>0.32999999999999996</v>
      </c>
      <c r="AG6" s="120">
        <f>$M6*AF6*4</f>
        <v>4.9561643835616433E-2</v>
      </c>
      <c r="AH6" s="122">
        <f>SUM(Z6,AB6,AD6,AF6)</f>
        <v>1</v>
      </c>
      <c r="AI6" s="184">
        <f>SUM(AA6,AC6,AE6,AG6)/4</f>
        <v>3.7546699875467E-2</v>
      </c>
      <c r="AJ6" s="119">
        <f>(AA6+AC6)/2</f>
        <v>2.5531755915317561E-2</v>
      </c>
      <c r="AK6" s="118">
        <f>(AE6+AG6)/2</f>
        <v>4.956164383561644E-2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0">
        <f>IF([1]Summ!$H1045="",0,[1]Summ!$H1045)</f>
        <v>1.87733499377335E-2</v>
      </c>
      <c r="C7" s="101">
        <f>IF([1]Summ!$I1045="",0,[1]Summ!$I1045)</f>
        <v>0</v>
      </c>
      <c r="D7" s="24">
        <f t="shared" si="0"/>
        <v>1.87733499377335E-2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1.87733499377335E-2</v>
      </c>
      <c r="J7" s="24">
        <f t="shared" si="3"/>
        <v>1.87733499377335E-2</v>
      </c>
      <c r="K7" s="22">
        <f t="shared" si="4"/>
        <v>1.87733499377335E-2</v>
      </c>
      <c r="L7" s="22">
        <f t="shared" si="5"/>
        <v>1.87733499377335E-2</v>
      </c>
      <c r="M7" s="228">
        <f t="shared" si="6"/>
        <v>1.87733499377335E-2</v>
      </c>
      <c r="N7" s="233">
        <v>3</v>
      </c>
      <c r="O7" s="2"/>
      <c r="P7" s="22"/>
      <c r="Q7" s="59" t="s">
        <v>72</v>
      </c>
      <c r="R7" s="226">
        <f>IF($B$68=0,0,(SUMIF($N$6:$N$20,$U7,K$6:K$20)+SUMIF($N$78:$N$100,$U7,K$78:K$100))*$I$70*Poor!$B$68/$B$68)</f>
        <v>4103.3979227532782</v>
      </c>
      <c r="S7" s="226">
        <f>IF($B$68=0,0,(SUMIF($N$6:$N$20,$U7,L$6:L$20)+SUMIF($N$78:$N$100,$U7,L$78:L$100))*$I$70*Poor!$B$68/$B$68)</f>
        <v>4103.3979227532782</v>
      </c>
      <c r="T7" s="226">
        <f>IF($B$68=0,0,(SUMIF($N$6:$N$20,$U7,M$6:M$20)+SUMIF($N$78:$N$100,$U7,M$78:M$100))*$I$70*Poor!$B$68/$B$68)</f>
        <v>4103.3979227532782</v>
      </c>
      <c r="U7" s="227">
        <v>1</v>
      </c>
      <c r="V7" s="56"/>
      <c r="W7" s="114"/>
      <c r="X7" s="117">
        <f>Poor!X7</f>
        <v>4</v>
      </c>
      <c r="Y7" s="184">
        <f t="shared" ref="Y7:Y21" si="9">M7*4</f>
        <v>7.5093399750934001E-2</v>
      </c>
      <c r="Z7" s="124">
        <f>IF($Y7=0,0,AA7/$Y7)</f>
        <v>0</v>
      </c>
      <c r="AA7" s="120">
        <f>IF($X7=1,IF(SUM(AA$6,AA$12:AA$21)&lt;1,IF((1-SUM(AA$6,AA$12:AA$21))*$M7/SUM($M$7*IF($X$7=1,1,0),$M$8*IF($X$8=1,1,0),$M$9*IF($X$9=1,1,0),$M$10*IF($X$10=1,1,0),$M$11*IF($X$11=1,1,0))&lt;Y7,(1-SUM(AA$6,AA$12:AA$21)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$21)&lt;1,IF(SUM(AC$6,AC$12:AC$21)+SUM((Y$7-AA$7)*IF($X$7&lt;3,1,0),(Y$8-AA$8)*IF($X$8&lt;3,1,0),(Y$9-AA$9)*IF($X$9&lt;3,1,0),(Y$10-AA$10)*IF($X$10&lt;3,1,0),(Y$11-AA$11)*IF($X$11&lt;3,1,0))&lt;1,Y7-AA7,IF((1-SUM(AC$6,AC$12:AC$21))*$M7/SUM($M$7*IF($X$7&lt;3,1,0),$M$8*IF($X$8&lt;3,1,0),$M$9*IF($X$9&lt;3,1,0),$M$10*IF($X$10&lt;3,1,0),$M$11*IF($X$11&lt;3,1,0))&lt;Y7-AA7,(1-SUM(AC$6,AC$12:AC$21)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$21)&lt;1,IF(SUM(AE$6:AE$6,AE$12:AE$21)+SUM((Y$7-AA$7-AC$7)*IF($X$7&lt;3,1,0),(Y$8-AA$8-AC$8)*IF($X$8&lt;3,1,0),(Y$9-AA$9-AC$9)*IF($X$9&lt;3,1,0),(Y$10-AA$10-AC$10)*IF($X$10&lt;3,1,0),(Y$11-AA$11-AC$11)*IF($X$11&lt;3,1,0))&lt;1,Y7-AA7-AC7,IF((1-SUM(AE$6:AE$6,AE$12:AE$21))*$M7/SUM($M$7*IF($X$7&lt;4,1,0),$M$8*IF($X$8&lt;4,1,0),$M$9*IF($X$9&lt;4,1,0),$M$10*IF($X$10&lt;4,1,0),$M$11*IF($X$11&lt;4,1,0))&lt;Y7-AA7-AC7,(1-SUM(AE$6:AE$6,AE$12:AE$21))*$M7/SUM($M$7*IF($X$7&lt;4,1,0),$M$8*IF($X$8&lt;4,1,0),$M$9*IF($X$9&lt;4,1,0),$M$10*IF($X$10&lt;4,1,0),$M$11*IF($X$11&lt;4,1,0)),Y7-AA7-AC7)),0),0)</f>
        <v>0</v>
      </c>
      <c r="AF7" s="121">
        <f t="shared" ref="AF7:AF21" si="10">1-SUM(Z7,AB7,AD7)</f>
        <v>1</v>
      </c>
      <c r="AG7" s="120">
        <f t="shared" ref="AG7:AG21" si="11">$M7*AF7*4</f>
        <v>7.5093399750934001E-2</v>
      </c>
      <c r="AH7" s="122">
        <f t="shared" ref="AH7:AH22" si="12">SUM(Z7,AB7,AD7,AF7)</f>
        <v>1</v>
      </c>
      <c r="AI7" s="184">
        <f t="shared" ref="AI7:AI22" si="13">SUM(AA7,AC7,AE7,AG7)/4</f>
        <v>1.87733499377335E-2</v>
      </c>
      <c r="AJ7" s="119">
        <f t="shared" ref="AJ7:AJ23" si="14">(AA7+AC7)/2</f>
        <v>0</v>
      </c>
      <c r="AK7" s="118">
        <f t="shared" ref="AK7:AK23" si="15">(AE7+AG7)/2</f>
        <v>3.7546699875467E-2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0">
        <f>IF([1]Summ!$H1046="",0,[1]Summ!$H1046)</f>
        <v>1.8809672063096721E-3</v>
      </c>
      <c r="C8" s="101">
        <f>IF([1]Summ!$I1046="",0,[1]Summ!$I1046)</f>
        <v>0</v>
      </c>
      <c r="D8" s="24">
        <f t="shared" si="0"/>
        <v>1.8809672063096721E-3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1.8809672063096721E-3</v>
      </c>
      <c r="J8" s="24">
        <f t="shared" si="3"/>
        <v>1.8809672063096721E-3</v>
      </c>
      <c r="K8" s="22">
        <f t="shared" si="4"/>
        <v>1.8809672063096721E-3</v>
      </c>
      <c r="L8" s="22">
        <f t="shared" si="5"/>
        <v>1.8809672063096721E-3</v>
      </c>
      <c r="M8" s="228">
        <f t="shared" si="6"/>
        <v>1.8809672063096721E-3</v>
      </c>
      <c r="N8" s="233">
        <v>3</v>
      </c>
      <c r="O8" s="2"/>
      <c r="P8" s="22"/>
      <c r="Q8" s="59" t="s">
        <v>73</v>
      </c>
      <c r="R8" s="226">
        <f>IF($B$68=0,0,(SUMIF($N$6:$N$20,$U8,K$6:K$20)+SUMIF($N$78:$N$100,$U8,K$78:K$100))*$I$70*Poor!$B$68/$B$68)</f>
        <v>0</v>
      </c>
      <c r="S8" s="226">
        <f>IF($B$68=0,0,(SUMIF($N$6:$N$20,$U8,L$6:L$20)+SUMIF($N$78:$N$100,$U8,L$78:L$100))*$I$70*Poor!$B$68/$B$68)</f>
        <v>0</v>
      </c>
      <c r="T8" s="226">
        <f>IF($B$68=0,0,(SUMIF($N$6:$N$20,$U8,M$6:M$20)+SUMIF($N$78:$N$100,$U8,M$78:M$100))*$I$70*Poor!$B$68/$B$68)</f>
        <v>0</v>
      </c>
      <c r="U8" s="227">
        <v>2</v>
      </c>
      <c r="V8" s="56"/>
      <c r="W8" s="114"/>
      <c r="X8" s="117">
        <f>Poor!X8</f>
        <v>1</v>
      </c>
      <c r="Y8" s="184">
        <f t="shared" si="9"/>
        <v>7.5238688252386885E-3</v>
      </c>
      <c r="Z8" s="124">
        <f>IF($Y8=0,0,AA8/$Y8)</f>
        <v>0.38402814657960999</v>
      </c>
      <c r="AA8" s="120">
        <f>IF($X8=1,IF(SUM(AA$6,AA$12:AA$21)&lt;1,IF((1-SUM(AA$6,AA$12:AA$21))*$M8/SUM($M$7*IF($X$7=1,1,0),$M$8*IF($X$8=1,1,0),$M$9*IF($X$9=1,1,0),$M$10*IF($X$10=1,1,0),$M$11*IF($X$11=1,1,0))&lt;Y8,(1-SUM(AA$6,AA$12:AA$21))*$M8/SUM($M$7*IF($X$7=1,1,0),$M$8*IF($X$8=1,1,0),$M$9*IF($X$9=1,1,0),$M$10*IF($X$10=1,1,0),$M$11*IF($X$11=1,1,0)),Y8),0),0)</f>
        <v>2.8893774000645213E-3</v>
      </c>
      <c r="AB8" s="124">
        <f>IF($Y8=0,0,AC8/$Y8)</f>
        <v>0.45692231892092228</v>
      </c>
      <c r="AC8" s="120">
        <f>IF($X8&lt;3,IF(SUM(AC$6,AC$12:AC$21)&lt;1,IF(SUM(AC$6,AC$12:AC$21)+SUM((Y$7-AA$7)*IF($X$7&lt;3,1,0),(Y$8-AA$8)*IF($X$8&lt;3,1,0),(Y$9-AA$9)*IF($X$9&lt;3,1,0),(Y$10-AA$10)*IF($X$10&lt;3,1,0),(Y$11-AA$11)*IF($X$11&lt;3,1,0))&lt;1,Y8-AA8,IF((1-SUM(AC$6,AC$12:AC$21))*$M8/SUM($M$7*IF($X$7&lt;3,1,0),$M$8*IF($X$8&lt;3,1,0),$M$9*IF($X$9&lt;3,1,0),$M$10*IF($X$10&lt;3,1,0),$M$11*IF($X$11&lt;3,1,0))&lt;Y8-AA8,(1-SUM(AC$6,AC$12:AC$21))*$M8/SUM($M$7*IF($X$7&lt;3,1,0),$M$8*IF($X$8&lt;3,1,0),$M$9*IF($X$9&lt;3,1,0),$M$10*IF($X$10&lt;3,1,0),$M$11*IF($X$11&lt;3,1,0)),Y8-AA8)),0),0)</f>
        <v>3.437823590884897E-3</v>
      </c>
      <c r="AD8" s="124">
        <f>IF($Y8=0,0,AE8/$Y8)</f>
        <v>0.15904953449946777</v>
      </c>
      <c r="AE8" s="120">
        <f>IF($X8&lt;4,IF(SUM(AE$6:AE$6,AE$12:AE$21)&lt;1,IF(SUM(AE$6:AE$6,AE$12:AE$21)+SUM((Y$7-AA$7-AC$7)*IF($X$7&lt;3,1,0),(Y$8-AA$8-AC$8)*IF($X$8&lt;3,1,0),(Y$9-AA$9-AC$9)*IF($X$9&lt;3,1,0),(Y$10-AA$10-AC$10)*IF($X$10&lt;3,1,0),(Y$11-AA$11-AC$11)*IF($X$11&lt;3,1,0))&lt;1,Y8-AA8-AC8,IF((1-SUM(AE$6:AE$6,AE$12:AE$21))*$M8/SUM($M$7*IF($X$7&lt;4,1,0),$M$8*IF($X$8&lt;4,1,0),$M$9*IF($X$9&lt;4,1,0),$M$10*IF($X$10&lt;4,1,0),$M$11*IF($X$11&lt;4,1,0))&lt;Y8-AA8-AC8,(1-SUM(AE$6:AE$6,AE$12:AE$21))*$M8/SUM($M$7*IF($X$7&lt;4,1,0),$M$8*IF($X$8&lt;4,1,0),$M$9*IF($X$9&lt;4,1,0),$M$10*IF($X$10&lt;4,1,0),$M$11*IF($X$11&lt;4,1,0)),Y8-AA8-AC8)),0),0)</f>
        <v>1.1966678342892707E-3</v>
      </c>
      <c r="AF8" s="121">
        <f t="shared" si="10"/>
        <v>0</v>
      </c>
      <c r="AG8" s="120">
        <f t="shared" si="11"/>
        <v>0</v>
      </c>
      <c r="AH8" s="122">
        <f t="shared" si="12"/>
        <v>1</v>
      </c>
      <c r="AI8" s="184">
        <f t="shared" si="13"/>
        <v>1.8809672063096721E-3</v>
      </c>
      <c r="AJ8" s="119">
        <f t="shared" si="14"/>
        <v>3.1636004954747089E-3</v>
      </c>
      <c r="AK8" s="118">
        <f t="shared" si="15"/>
        <v>5.9833391714463535E-4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0">
        <f>IF([1]Summ!$H1047="",0,[1]Summ!$H1047)</f>
        <v>0.27601335616438355</v>
      </c>
      <c r="C9" s="101">
        <f>IF([1]Summ!$I1047="",0,[1]Summ!$I1047)</f>
        <v>0</v>
      </c>
      <c r="D9" s="24">
        <f t="shared" si="0"/>
        <v>0.27601335616438355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0.27601335616438355</v>
      </c>
      <c r="J9" s="24">
        <f t="shared" si="3"/>
        <v>0.27601335616438355</v>
      </c>
      <c r="K9" s="22">
        <f t="shared" si="4"/>
        <v>0.27601335616438355</v>
      </c>
      <c r="L9" s="22">
        <f t="shared" si="5"/>
        <v>0.27601335616438355</v>
      </c>
      <c r="M9" s="228">
        <f t="shared" si="6"/>
        <v>0.27601335616438355</v>
      </c>
      <c r="N9" s="233">
        <v>1</v>
      </c>
      <c r="O9" s="2"/>
      <c r="P9" s="22"/>
      <c r="Q9" s="59" t="s">
        <v>74</v>
      </c>
      <c r="R9" s="226">
        <f>IF($B$68=0,0,(SUMIF($N$6:$N$20,$U9,K$6:K$20)+SUMIF($N$78:$N$100,$U9,K$78:K$100))*$I$70*Poor!$B$68/$B$68)</f>
        <v>445.51575406420721</v>
      </c>
      <c r="S9" s="226">
        <f>IF($B$68=0,0,(SUMIF($N$6:$N$20,$U9,L$6:L$20)+SUMIF($N$78:$N$100,$U9,L$78:L$100))*$I$70*Poor!$B$68/$B$68)</f>
        <v>445.51575406420721</v>
      </c>
      <c r="T9" s="226">
        <f>IF($B$68=0,0,(SUMIF($N$6:$N$20,$U9,M$6:M$20)+SUMIF($N$78:$N$100,$U9,M$78:M$100))*$I$70*Poor!$B$68/$B$68)</f>
        <v>445.51575406420721</v>
      </c>
      <c r="U9" s="227">
        <v>3</v>
      </c>
      <c r="V9" s="56"/>
      <c r="W9" s="114"/>
      <c r="X9" s="117">
        <f>Poor!X9</f>
        <v>1</v>
      </c>
      <c r="Y9" s="184">
        <f t="shared" si="9"/>
        <v>1.1040534246575342</v>
      </c>
      <c r="Z9" s="124">
        <f>IF($Y9=0,0,AA9/$Y9)</f>
        <v>0.38402814657961004</v>
      </c>
      <c r="AA9" s="120">
        <f>IF($X9=1,IF(SUM(AA$6,AA$12:AA$21)&lt;1,IF((1-SUM(AA$6,AA$12:AA$21))*$M9/SUM($M$7*IF($X$7=1,1,0),$M$8*IF($X$8=1,1,0),$M$9*IF($X$9=1,1,0),$M$10*IF($X$10=1,1,0),$M$11*IF($X$11=1,1,0))&lt;Y9,(1-SUM(AA$6,AA$12:AA$21))*$M9/SUM($M$7*IF($X$7=1,1,0),$M$8*IF($X$8=1,1,0),$M$9*IF($X$9=1,1,0),$M$10*IF($X$10=1,1,0),$M$11*IF($X$11=1,1,0)),Y9),0),0)</f>
        <v>0.42398759039610401</v>
      </c>
      <c r="AB9" s="124">
        <f>IF($Y9=0,0,AC9/$Y9)</f>
        <v>0.45692231892092228</v>
      </c>
      <c r="AC9" s="120">
        <f>IF($X9&lt;3,IF(SUM(AC$6,AC$12:AC$21)&lt;1,IF(SUM(AC$6,AC$12:AC$21)+SUM((Y$7-AA$7)*IF($X$7&lt;3,1,0),(Y$8-AA$8)*IF($X$8&lt;3,1,0),(Y$9-AA$9)*IF($X$9&lt;3,1,0),(Y$10-AA$10)*IF($X$10&lt;3,1,0),(Y$11-AA$11)*IF($X$11&lt;3,1,0))&lt;1,Y9-AA9,IF((1-SUM(AC$6,AC$12:AC$21))*$M9/SUM($M$7*IF($X$7&lt;3,1,0),$M$8*IF($X$8&lt;3,1,0),$M$9*IF($X$9&lt;3,1,0),$M$10*IF($X$10&lt;3,1,0),$M$11*IF($X$11&lt;3,1,0))&lt;Y9-AA9,(1-SUM(AC$6,AC$12:AC$21))*$M9/SUM($M$7*IF($X$7&lt;3,1,0),$M$8*IF($X$8&lt;3,1,0),$M$9*IF($X$9&lt;3,1,0),$M$10*IF($X$10&lt;3,1,0),$M$11*IF($X$11&lt;3,1,0)),Y9-AA9)),0),0)</f>
        <v>0.5044666510071063</v>
      </c>
      <c r="AD9" s="124">
        <f>IF($Y9=0,0,AE9/$Y9)</f>
        <v>0.15904953449946765</v>
      </c>
      <c r="AE9" s="120">
        <f>IF($X9&lt;4,IF(SUM(AE$6:AE$6,AE$12:AE$21)&lt;1,IF(SUM(AE$6:AE$6,AE$12:AE$21)+SUM((Y$7-AA$7-AC$7)*IF($X$7&lt;3,1,0),(Y$8-AA$8-AC$8)*IF($X$8&lt;3,1,0),(Y$9-AA$9-AC$9)*IF($X$9&lt;3,1,0),(Y$10-AA$10-AC$10)*IF($X$10&lt;3,1,0),(Y$11-AA$11-AC$11)*IF($X$11&lt;3,1,0))&lt;1,Y9-AA9-AC9,IF((1-SUM(AE$6:AE$6,AE$12:AE$21))*$M9/SUM($M$7*IF($X$7&lt;4,1,0),$M$8*IF($X$8&lt;4,1,0),$M$9*IF($X$9&lt;4,1,0),$M$10*IF($X$10&lt;4,1,0),$M$11*IF($X$11&lt;4,1,0))&lt;Y9-AA9-AC9,(1-SUM(AE$6:AE$6,AE$12:AE$21))*$M9/SUM($M$7*IF($X$7&lt;4,1,0),$M$8*IF($X$8&lt;4,1,0),$M$9*IF($X$9&lt;4,1,0),$M$10*IF($X$10&lt;4,1,0),$M$11*IF($X$11&lt;4,1,0)),Y9-AA9-AC9)),0),0)</f>
        <v>0.17559918325432389</v>
      </c>
      <c r="AF9" s="121">
        <f t="shared" si="10"/>
        <v>0</v>
      </c>
      <c r="AG9" s="120">
        <f t="shared" si="11"/>
        <v>0</v>
      </c>
      <c r="AH9" s="122">
        <f t="shared" si="12"/>
        <v>1</v>
      </c>
      <c r="AI9" s="184">
        <f t="shared" si="13"/>
        <v>0.27601335616438355</v>
      </c>
      <c r="AJ9" s="119">
        <f t="shared" si="14"/>
        <v>0.46422712070160516</v>
      </c>
      <c r="AK9" s="118">
        <f t="shared" si="15"/>
        <v>8.7799591627161944E-2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100">
        <f>IF([1]Summ!$H1048="",0,[1]Summ!$H1048)</f>
        <v>3.0849190535491903E-2</v>
      </c>
      <c r="C10" s="101">
        <f>IF([1]Summ!$I1048="",0,[1]Summ!$I1048)</f>
        <v>0</v>
      </c>
      <c r="D10" s="24">
        <f t="shared" si="0"/>
        <v>3.0849190535491903E-2</v>
      </c>
      <c r="E10" s="75">
        <f>Poor!E10</f>
        <v>1</v>
      </c>
      <c r="H10" s="24">
        <f t="shared" si="1"/>
        <v>1</v>
      </c>
      <c r="I10" s="22">
        <f t="shared" si="2"/>
        <v>3.0849190535491903E-2</v>
      </c>
      <c r="J10" s="24">
        <f t="shared" si="3"/>
        <v>3.0849190535491903E-2</v>
      </c>
      <c r="K10" s="22">
        <f t="shared" si="4"/>
        <v>3.0849190535491903E-2</v>
      </c>
      <c r="L10" s="22">
        <f t="shared" si="5"/>
        <v>3.0849190535491903E-2</v>
      </c>
      <c r="M10" s="228">
        <f t="shared" si="6"/>
        <v>3.0849190535491903E-2</v>
      </c>
      <c r="N10" s="233">
        <v>1</v>
      </c>
      <c r="O10" s="2"/>
      <c r="P10" s="22"/>
      <c r="Q10" s="59" t="s">
        <v>75</v>
      </c>
      <c r="R10" s="226">
        <f>IF($B$68=0,0,(SUMIF($N$6:$N$20,$U10,K$6:K$20)+SUMIF($N$78:$N$100,$U10,K$78:K$100))*$I$70*Poor!$B$68/$B$68)</f>
        <v>0</v>
      </c>
      <c r="S10" s="226">
        <f>IF($B$68=0,0,(SUMIF($N$6:$N$20,$U10,L$6:L$20)+SUMIF($N$78:$N$100,$U10,L$78:L$100))*$I$70*Poor!$B$68/$B$68)</f>
        <v>0</v>
      </c>
      <c r="T10" s="226">
        <f>IF($B$68=0,0,(SUMIF($N$6:$N$20,$U10,M$6:M$20)+SUMIF($N$78:$N$100,$U10,M$78:M$100))*$I$70*Poor!$B$68/$B$68)</f>
        <v>0</v>
      </c>
      <c r="U10" s="227">
        <v>4</v>
      </c>
      <c r="V10" s="56"/>
      <c r="W10" s="114"/>
      <c r="X10" s="117">
        <f>Poor!X10</f>
        <v>1</v>
      </c>
      <c r="Y10" s="184">
        <f t="shared" si="9"/>
        <v>0.12339676214196761</v>
      </c>
      <c r="Z10" s="124">
        <f>IF($Y10=0,0,AA10/$Y10)</f>
        <v>0.38402814657961004</v>
      </c>
      <c r="AA10" s="120">
        <f>IF($X10=1,IF(SUM(AA$6,AA$12:AA$21)&lt;1,IF((1-SUM(AA$6,AA$12:AA$21))*$M10/SUM($M$7*IF($X$7=1,1,0),$M$8*IF($X$8=1,1,0),$M$9*IF($X$9=1,1,0),$M$10*IF($X$10=1,1,0),$M$11*IF($X$11=1,1,0))&lt;Y10,(1-SUM(AA$6,AA$12:AA$21))*$M10/SUM($M$7*IF($X$7=1,1,0),$M$8*IF($X$8=1,1,0),$M$9*IF($X$9=1,1,0),$M$10*IF($X$10=1,1,0),$M$11*IF($X$11=1,1,0)),Y10),0),0)</f>
        <v>4.7387829859304814E-2</v>
      </c>
      <c r="AB10" s="124">
        <f>IF($Y10=0,0,AC10/$Y10)</f>
        <v>0.45692231892092233</v>
      </c>
      <c r="AC10" s="120">
        <f>IF($X10&lt;3,IF(SUM(AC$6,AC$12:AC$21)&lt;1,IF(SUM(AC$6,AC$12:AC$21)+SUM((Y$7-AA$7)*IF($X$7&lt;3,1,0),(Y$8-AA$8)*IF($X$8&lt;3,1,0),(Y$9-AA$9)*IF($X$9&lt;3,1,0),(Y$10-AA$10)*IF($X$10&lt;3,1,0),(Y$11-AA$11)*IF($X$11&lt;3,1,0))&lt;1,Y10-AA10,IF((1-SUM(AC$6,AC$12:AC$21))*$M10/SUM($M$7*IF($X$7&lt;3,1,0),$M$8*IF($X$8&lt;3,1,0),$M$9*IF($X$9&lt;3,1,0),$M$10*IF($X$10&lt;3,1,0),$M$11*IF($X$11&lt;3,1,0))&lt;Y10-AA10,(1-SUM(AC$6,AC$12:AC$21))*$M10/SUM($M$7*IF($X$7&lt;3,1,0),$M$8*IF($X$8&lt;3,1,0),$M$9*IF($X$9&lt;3,1,0),$M$10*IF($X$10&lt;3,1,0),$M$11*IF($X$11&lt;3,1,0)),Y10-AA10)),0),0)</f>
        <v>5.6382734705241321E-2</v>
      </c>
      <c r="AD10" s="124">
        <f>IF($Y10=0,0,AE10/$Y10)</f>
        <v>0.15904953449946763</v>
      </c>
      <c r="AE10" s="120">
        <f>IF($X10&lt;4,IF(SUM(AE$6:AE$6,AE$12:AE$21)&lt;1,IF(SUM(AE$6:AE$6,AE$12:AE$21)+SUM((Y$7-AA$7-AC$7)*IF($X$7&lt;3,1,0),(Y$8-AA$8-AC$8)*IF($X$8&lt;3,1,0),(Y$9-AA$9-AC$9)*IF($X$9&lt;3,1,0),(Y$10-AA$10-AC$10)*IF($X$10&lt;3,1,0),(Y$11-AA$11-AC$11)*IF($X$11&lt;3,1,0))&lt;1,Y10-AA10-AC10,IF((1-SUM(AE$6:AE$6,AE$12:AE$21))*$M10/SUM($M$7*IF($X$7&lt;4,1,0),$M$8*IF($X$8&lt;4,1,0),$M$9*IF($X$9&lt;4,1,0),$M$10*IF($X$10&lt;4,1,0),$M$11*IF($X$11&lt;4,1,0))&lt;Y10-AA10-AC10,(1-SUM(AE$6:AE$6,AE$12:AE$21))*$M10/SUM($M$7*IF($X$7&lt;4,1,0),$M$8*IF($X$8&lt;4,1,0),$M$9*IF($X$9&lt;4,1,0),$M$10*IF($X$10&lt;4,1,0),$M$11*IF($X$11&lt;4,1,0)),Y10-AA10-AC10)),0),0)</f>
        <v>1.9626197577421477E-2</v>
      </c>
      <c r="AF10" s="121">
        <f t="shared" si="10"/>
        <v>0</v>
      </c>
      <c r="AG10" s="120">
        <f t="shared" si="11"/>
        <v>0</v>
      </c>
      <c r="AH10" s="122">
        <f t="shared" si="12"/>
        <v>1</v>
      </c>
      <c r="AI10" s="184">
        <f t="shared" si="13"/>
        <v>3.0849190535491906E-2</v>
      </c>
      <c r="AJ10" s="119">
        <f t="shared" si="14"/>
        <v>5.1885282282273071E-2</v>
      </c>
      <c r="AK10" s="118">
        <f t="shared" si="15"/>
        <v>9.8130987887107383E-3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Cowpeas: kg produced</v>
      </c>
      <c r="B11" s="100">
        <f>IF([1]Summ!$H1049="",0,[1]Summ!$H1049)</f>
        <v>0.10340996264009962</v>
      </c>
      <c r="C11" s="101">
        <f>IF([1]Summ!$I1049="",0,[1]Summ!$I1049)</f>
        <v>0</v>
      </c>
      <c r="D11" s="24">
        <f t="shared" si="0"/>
        <v>0.10340996264009962</v>
      </c>
      <c r="E11" s="75">
        <f>Poor!E11</f>
        <v>1</v>
      </c>
      <c r="H11" s="24">
        <f t="shared" si="1"/>
        <v>1</v>
      </c>
      <c r="I11" s="22">
        <f t="shared" si="2"/>
        <v>0.10340996264009962</v>
      </c>
      <c r="J11" s="24">
        <f t="shared" si="3"/>
        <v>0.10340996264009962</v>
      </c>
      <c r="K11" s="22">
        <f t="shared" si="4"/>
        <v>0.10340996264009962</v>
      </c>
      <c r="L11" s="22">
        <f t="shared" si="5"/>
        <v>0.10340996264009962</v>
      </c>
      <c r="M11" s="228">
        <f t="shared" si="6"/>
        <v>0.10340996264009962</v>
      </c>
      <c r="N11" s="233">
        <v>1</v>
      </c>
      <c r="O11" s="2"/>
      <c r="P11" s="22"/>
      <c r="Q11" s="59" t="s">
        <v>76</v>
      </c>
      <c r="R11" s="226">
        <f>IF($B$68=0,0,(SUMIF($N$6:$N$20,$U11,K$6:K$20)+SUMIF($N$78:$N$100,$U11,K$78:K$100))*$I$70*Poor!$B$68/$B$68)</f>
        <v>11872.000000000002</v>
      </c>
      <c r="S11" s="226">
        <f>IF($B$68=0,0,(SUMIF($N$6:$N$20,$U11,L$6:L$20)+SUMIF($N$78:$N$100,$U11,L$78:L$100))*$I$70*Poor!$B$68/$B$68)</f>
        <v>11734.000000000002</v>
      </c>
      <c r="T11" s="226">
        <f>IF($B$68=0,0,(SUMIF($N$6:$N$20,$U11,M$6:M$20)+SUMIF($N$78:$N$100,$U11,M$78:M$100))*$I$70*Poor!$B$68/$B$68)</f>
        <v>11720.389111872573</v>
      </c>
      <c r="U11" s="227">
        <v>5</v>
      </c>
      <c r="V11" s="56"/>
      <c r="W11" s="114"/>
      <c r="X11" s="117">
        <f>Poor!X11</f>
        <v>1</v>
      </c>
      <c r="Y11" s="184">
        <f t="shared" si="9"/>
        <v>0.41363985056039848</v>
      </c>
      <c r="Z11" s="124">
        <f>IF($Y11=0,0,AA11/$Y11)</f>
        <v>0.3840281465796101</v>
      </c>
      <c r="AA11" s="120">
        <f>IF($X11=1,IF(SUM(AA$6,AA$12:AA$21)&lt;1,IF((1-SUM(AA$6,AA$12:AA$21))*$M11/SUM($M$7*IF($X$7=1,1,0),$M$8*IF($X$8=1,1,0),$M$9*IF($X$9=1,1,0),$M$10*IF($X$10=1,1,0),$M$11*IF($X$11=1,1,0))&lt;Y11,(1-SUM(AA$6,AA$12:AA$21))*$M11/SUM($M$7*IF($X$7=1,1,0),$M$8*IF($X$8=1,1,0),$M$9*IF($X$9=1,1,0),$M$10*IF($X$10=1,1,0),$M$11*IF($X$11=1,1,0)),Y11),0),0)</f>
        <v>0.15884934516217672</v>
      </c>
      <c r="AB11" s="124">
        <f>IF($Y11=0,0,AC11/$Y11)</f>
        <v>0.45692231892092233</v>
      </c>
      <c r="AC11" s="120">
        <f>IF($X11&lt;3,IF(SUM(AC$6,AC$12:AC$21)&lt;1,IF(SUM(AC$6,AC$12:AC$21)+SUM((Y$7-AA$7)*IF($X$7&lt;3,1,0),(Y$8-AA$8)*IF($X$8&lt;3,1,0),(Y$9-AA$9)*IF($X$9&lt;3,1,0),(Y$10-AA$10)*IF($X$10&lt;3,1,0),(Y$11-AA$11)*IF($X$11&lt;3,1,0))&lt;1,Y11-AA11,IF((1-SUM(AC$6,AC$12:AC$21))*$M11/SUM($M$7*IF($X$7&lt;3,1,0),$M$8*IF($X$8&lt;3,1,0),$M$9*IF($X$9&lt;3,1,0),$M$10*IF($X$10&lt;3,1,0),$M$11*IF($X$11&lt;3,1,0))&lt;Y11-AA11,(1-SUM(AC$6,AC$12:AC$21))*$M11/SUM($M$7*IF($X$7&lt;3,1,0),$M$8*IF($X$8&lt;3,1,0),$M$9*IF($X$9&lt;3,1,0),$M$10*IF($X$10&lt;3,1,0),$M$11*IF($X$11&lt;3,1,0)),Y11-AA11)),0),0)</f>
        <v>0.18900127971616104</v>
      </c>
      <c r="AD11" s="124">
        <f>IF($Y11=0,0,AE11/$Y11)</f>
        <v>0.15904953449946765</v>
      </c>
      <c r="AE11" s="120">
        <f>IF($X11&lt;4,IF(SUM(AE$6:AE$6,AE$12:AE$21)&lt;1,IF(SUM(AE$6:AE$6,AE$12:AE$21)+SUM((Y$7-AA$7-AC$7)*IF($X$7&lt;3,1,0),(Y$8-AA$8-AC$8)*IF($X$8&lt;3,1,0),(Y$9-AA$9-AC$9)*IF($X$9&lt;3,1,0),(Y$10-AA$10-AC$10)*IF($X$10&lt;3,1,0),(Y$11-AA$11-AC$11)*IF($X$11&lt;3,1,0))&lt;1,Y11-AA11-AC11,IF((1-SUM(AE$6:AE$6,AE$12:AE$21))*$M11/SUM($M$7*IF($X$7&lt;4,1,0),$M$8*IF($X$8&lt;4,1,0),$M$9*IF($X$9&lt;4,1,0),$M$10*IF($X$10&lt;4,1,0),$M$11*IF($X$11&lt;4,1,0))&lt;Y11-AA11-AC11,(1-SUM(AE$6:AE$6,AE$12:AE$21))*$M11/SUM($M$7*IF($X$7&lt;4,1,0),$M$8*IF($X$8&lt;4,1,0),$M$9*IF($X$9&lt;4,1,0),$M$10*IF($X$10&lt;4,1,0),$M$11*IF($X$11&lt;4,1,0)),Y11-AA11-AC11)),0),0)</f>
        <v>6.5789225682060748E-2</v>
      </c>
      <c r="AF11" s="121">
        <f t="shared" si="10"/>
        <v>0</v>
      </c>
      <c r="AG11" s="120">
        <f t="shared" si="11"/>
        <v>0</v>
      </c>
      <c r="AH11" s="122">
        <f t="shared" si="12"/>
        <v>1</v>
      </c>
      <c r="AI11" s="184">
        <f t="shared" si="13"/>
        <v>0.10340996264009962</v>
      </c>
      <c r="AJ11" s="119">
        <f t="shared" si="14"/>
        <v>0.17392531243916887</v>
      </c>
      <c r="AK11" s="118">
        <f t="shared" si="15"/>
        <v>3.2894612841030374E-2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0">
        <f>IF([1]Summ!$H1050="",0,[1]Summ!$H1050)</f>
        <v>9.5741114570361163E-2</v>
      </c>
      <c r="C12" s="101">
        <f>IF([1]Summ!$I1050="",0,[1]Summ!$I1050)</f>
        <v>0</v>
      </c>
      <c r="D12" s="24">
        <f t="shared" si="0"/>
        <v>9.5741114570361163E-2</v>
      </c>
      <c r="E12" s="75">
        <f>Poor!E12</f>
        <v>1</v>
      </c>
      <c r="H12" s="24">
        <f t="shared" si="1"/>
        <v>1</v>
      </c>
      <c r="I12" s="22">
        <f t="shared" si="2"/>
        <v>9.5741114570361163E-2</v>
      </c>
      <c r="J12" s="24">
        <f t="shared" si="3"/>
        <v>9.5741114570361163E-2</v>
      </c>
      <c r="K12" s="22">
        <f t="shared" si="4"/>
        <v>9.5741114570361163E-2</v>
      </c>
      <c r="L12" s="22">
        <f t="shared" si="5"/>
        <v>9.5741114570361163E-2</v>
      </c>
      <c r="M12" s="228">
        <f t="shared" si="6"/>
        <v>9.5741114570361163E-2</v>
      </c>
      <c r="N12" s="233">
        <v>1</v>
      </c>
      <c r="O12" s="2"/>
      <c r="P12" s="22"/>
      <c r="Q12" s="125" t="s">
        <v>125</v>
      </c>
      <c r="R12" s="226">
        <f>IF($B$68=0,0,(SUMIF($N$6:$N$20,$U12,K$6:K$20)+SUMIF($N$78:$N$100,$U12,K$78:K$100))*$I$70*Poor!$B$68/$B$68)</f>
        <v>0</v>
      </c>
      <c r="S12" s="226">
        <f>IF($B$68=0,0,(SUMIF($N$6:$N$20,$U12,L$6:L$20)+SUMIF($N$78:$N$100,$U12,L$78:L$100))*$I$70*Poor!$B$68/$B$68)</f>
        <v>0</v>
      </c>
      <c r="T12" s="226">
        <f>IF($B$68=0,0,(SUMIF($N$6:$N$20,$U12,M$6:M$20)+SUMIF($N$78:$N$100,$U12,M$78:M$100))*$I$70*Poor!$B$68/$B$68)</f>
        <v>0</v>
      </c>
      <c r="U12" s="227">
        <v>6</v>
      </c>
      <c r="V12" s="56"/>
      <c r="W12" s="116"/>
      <c r="X12" s="117"/>
      <c r="Y12" s="184">
        <f t="shared" si="9"/>
        <v>0.38296445828144465</v>
      </c>
      <c r="Z12" s="155">
        <f>Poor!Z12</f>
        <v>0</v>
      </c>
      <c r="AA12" s="120">
        <f>$M12*Z12*4</f>
        <v>0</v>
      </c>
      <c r="AB12" s="155">
        <f>Poor!AB12</f>
        <v>0</v>
      </c>
      <c r="AC12" s="120">
        <f>$M12*AB12*4</f>
        <v>0</v>
      </c>
      <c r="AD12" s="155">
        <f>Poor!AD12</f>
        <v>0.67</v>
      </c>
      <c r="AE12" s="120">
        <f>$M12*AD12*4</f>
        <v>0.25658618704856795</v>
      </c>
      <c r="AF12" s="121">
        <f>1-SUM(Z12,AB12,AD12)</f>
        <v>0.32999999999999996</v>
      </c>
      <c r="AG12" s="120">
        <f>$M12*AF12*4</f>
        <v>0.12637827123287673</v>
      </c>
      <c r="AH12" s="122">
        <f t="shared" si="12"/>
        <v>1</v>
      </c>
      <c r="AI12" s="184">
        <f t="shared" si="13"/>
        <v>9.5741114570361163E-2</v>
      </c>
      <c r="AJ12" s="119">
        <f t="shared" si="14"/>
        <v>0</v>
      </c>
      <c r="AK12" s="118">
        <f t="shared" si="15"/>
        <v>0.19148222914072233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Groundnuts (dry): no. local meas</v>
      </c>
      <c r="B13" s="100">
        <f>IF([1]Summ!$H1051="",0,[1]Summ!$H1051)</f>
        <v>3.0043586550435864E-2</v>
      </c>
      <c r="C13" s="101">
        <f>IF([1]Summ!$I1051="",0,[1]Summ!$I1051)</f>
        <v>0</v>
      </c>
      <c r="D13" s="24">
        <f t="shared" si="0"/>
        <v>3.0043586550435864E-2</v>
      </c>
      <c r="E13" s="75">
        <f>Poor!E13</f>
        <v>1</v>
      </c>
      <c r="H13" s="24">
        <f t="shared" si="1"/>
        <v>1</v>
      </c>
      <c r="I13" s="22">
        <f t="shared" si="2"/>
        <v>3.0043586550435864E-2</v>
      </c>
      <c r="J13" s="24">
        <f t="shared" si="3"/>
        <v>3.0043586550435864E-2</v>
      </c>
      <c r="K13" s="22">
        <f t="shared" si="4"/>
        <v>3.0043586550435864E-2</v>
      </c>
      <c r="L13" s="22">
        <f t="shared" si="5"/>
        <v>3.0043586550435864E-2</v>
      </c>
      <c r="M13" s="229">
        <f t="shared" si="6"/>
        <v>3.0043586550435864E-2</v>
      </c>
      <c r="N13" s="233">
        <v>1</v>
      </c>
      <c r="O13" s="2"/>
      <c r="P13" s="22"/>
      <c r="Q13" s="59" t="s">
        <v>77</v>
      </c>
      <c r="R13" s="226">
        <f>IF($B$68=0,0,(SUMIF($N$6:$N$20,$U13,K$6:K$20)+SUMIF($N$78:$N$100,$U13,K$78:K$100))*$I$70*Poor!$B$68/$B$68)</f>
        <v>840</v>
      </c>
      <c r="S13" s="226">
        <f>IF($B$68=0,0,(SUMIF($N$6:$N$20,$U13,L$6:L$20)+SUMIF($N$78:$N$100,$U13,L$78:L$100))*$I$70*Poor!$B$68/$B$68)</f>
        <v>724.27500000000009</v>
      </c>
      <c r="T13" s="226">
        <f>IF($B$68=0,0,(SUMIF($N$6:$N$20,$U13,M$6:M$20)+SUMIF($N$78:$N$100,$U13,M$78:M$100))*$I$70*Poor!$B$68/$B$68)</f>
        <v>724.27500000000009</v>
      </c>
      <c r="U13" s="227">
        <v>7</v>
      </c>
      <c r="V13" s="56"/>
      <c r="W13" s="109"/>
      <c r="X13" s="117"/>
      <c r="Y13" s="184">
        <f t="shared" si="9"/>
        <v>0.12017434620174346</v>
      </c>
      <c r="Z13" s="155">
        <f>Poor!Z13</f>
        <v>1</v>
      </c>
      <c r="AA13" s="120">
        <f>$M13*Z13*4</f>
        <v>0.12017434620174346</v>
      </c>
      <c r="AB13" s="155">
        <f>Poor!AB13</f>
        <v>0</v>
      </c>
      <c r="AC13" s="120">
        <f>$M13*AB13*4</f>
        <v>0</v>
      </c>
      <c r="AD13" s="155">
        <f>Poor!AD13</f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4">
        <f t="shared" si="13"/>
        <v>3.0043586550435864E-2</v>
      </c>
      <c r="AJ13" s="119">
        <f t="shared" si="14"/>
        <v>6.0087173100871728E-2</v>
      </c>
      <c r="AK13" s="118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WILD FOODS -- see worksheet Data 3</v>
      </c>
      <c r="B14" s="100">
        <f>IF([1]Summ!$H1052="",0,[1]Summ!$H1052)</f>
        <v>0</v>
      </c>
      <c r="C14" s="101">
        <f>IF([1]Summ!$I1052="",0,[1]Summ!$I1052)</f>
        <v>0</v>
      </c>
      <c r="D14" s="24">
        <f t="shared" si="0"/>
        <v>0</v>
      </c>
      <c r="E14" s="75">
        <f>Poor!E14</f>
        <v>0.8</v>
      </c>
      <c r="F14" s="22"/>
      <c r="H14" s="24">
        <f t="shared" si="1"/>
        <v>0.8</v>
      </c>
      <c r="I14" s="22">
        <f t="shared" si="2"/>
        <v>0</v>
      </c>
      <c r="J14" s="24">
        <f>IF(I$24&lt;=1+I113,I14,B14*H14+J$25*(I14-B14*H14))</f>
        <v>0</v>
      </c>
      <c r="K14" s="22">
        <f t="shared" si="4"/>
        <v>0</v>
      </c>
      <c r="L14" s="22">
        <f t="shared" si="5"/>
        <v>0</v>
      </c>
      <c r="M14" s="229">
        <f t="shared" si="6"/>
        <v>0</v>
      </c>
      <c r="N14" s="233">
        <v>6</v>
      </c>
      <c r="O14" s="2"/>
      <c r="P14" s="22"/>
      <c r="Q14" s="125" t="s">
        <v>78</v>
      </c>
      <c r="R14" s="226">
        <f>IF($B$68=0,0,(SUMIF($N$6:$N$20,$U14,K$6:K$20)+SUMIF($N$78:$N$100,$U14,K$78:K$100))*$I$70*Poor!$B$68/$B$68)</f>
        <v>89376.000000000015</v>
      </c>
      <c r="S14" s="226">
        <f>IF($B$68=0,0,(SUMIF($N$6:$N$20,$U14,L$6:L$20)+SUMIF($N$78:$N$100,$U14,L$78:L$100))*$I$70*Poor!$B$68/$B$68)</f>
        <v>85386</v>
      </c>
      <c r="T14" s="226">
        <f>IF($B$68=0,0,(SUMIF($N$6:$N$20,$U14,M$6:M$20)+SUMIF($N$78:$N$100,$U14,M$78:M$100))*$I$70*Poor!$B$68/$B$68)</f>
        <v>85386</v>
      </c>
      <c r="U14" s="227">
        <v>8</v>
      </c>
      <c r="V14" s="56"/>
      <c r="W14" s="109"/>
      <c r="X14" s="117"/>
      <c r="Y14" s="184">
        <f>M14*4</f>
        <v>0</v>
      </c>
      <c r="Z14" s="155">
        <f>Poor!Z14</f>
        <v>0</v>
      </c>
      <c r="AA14" s="120">
        <f t="shared" ref="AA14:AA21" si="16">$M14*Z14*4</f>
        <v>0</v>
      </c>
      <c r="AB14" s="155">
        <f>Poor!AB14</f>
        <v>1</v>
      </c>
      <c r="AC14" s="120">
        <f t="shared" si="7"/>
        <v>0</v>
      </c>
      <c r="AD14" s="155">
        <f>Poor!AD14</f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4">
        <f>SUM(AA14,AC14,AE14,AG14)/4</f>
        <v>0</v>
      </c>
      <c r="AJ14" s="119">
        <f t="shared" si="14"/>
        <v>0</v>
      </c>
      <c r="AK14" s="118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0">
        <f>IF([1]Summ!$H1053="",0,[1]Summ!$H1053)</f>
        <v>0</v>
      </c>
      <c r="C15" s="101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IF(I$24&lt;=1+I113,I15,B15*H15+J$25*(I15-B15*H15))</f>
        <v>0</v>
      </c>
      <c r="K15" s="22">
        <f t="shared" si="4"/>
        <v>0</v>
      </c>
      <c r="L15" s="22">
        <f t="shared" si="5"/>
        <v>0</v>
      </c>
      <c r="M15" s="230">
        <f t="shared" si="6"/>
        <v>0</v>
      </c>
      <c r="N15" s="233"/>
      <c r="O15" s="2"/>
      <c r="P15" s="22"/>
      <c r="Q15" s="59" t="s">
        <v>127</v>
      </c>
      <c r="R15" s="226">
        <f>IF($B$68=0,0,(SUMIF($N$6:$N$20,$U15,K$6:K$20)+SUMIF($N$78:$N$100,$U15,K$78:K$100))*$I$70*Poor!$B$68/$B$68)</f>
        <v>0</v>
      </c>
      <c r="S15" s="226">
        <f>IF($B$68=0,0,(SUMIF($N$6:$N$20,$U15,L$6:L$20)+SUMIF($N$78:$N$100,$U15,L$78:L$100))*$I$70*Poor!$B$68/$B$68)</f>
        <v>0</v>
      </c>
      <c r="T15" s="226">
        <f>IF($B$68=0,0,(SUMIF($N$6:$N$20,$U15,M$6:M$20)+SUMIF($N$78:$N$100,$U15,M$78:M$100))*$I$70*Poor!$B$68/$B$68)</f>
        <v>0</v>
      </c>
      <c r="U15" s="227">
        <v>9</v>
      </c>
      <c r="V15" s="56"/>
      <c r="W15" s="109"/>
      <c r="X15" s="117"/>
      <c r="Y15" s="184">
        <f t="shared" si="9"/>
        <v>0</v>
      </c>
      <c r="Z15" s="155">
        <f>Poor!Z15</f>
        <v>0.25</v>
      </c>
      <c r="AA15" s="120">
        <f t="shared" si="16"/>
        <v>0</v>
      </c>
      <c r="AB15" s="155">
        <f>Poor!AB15</f>
        <v>0.25</v>
      </c>
      <c r="AC15" s="120">
        <f t="shared" si="7"/>
        <v>0</v>
      </c>
      <c r="AD15" s="155">
        <f>Poor!AD15</f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4">
        <f t="shared" si="13"/>
        <v>0</v>
      </c>
      <c r="AJ15" s="119">
        <f t="shared" si="14"/>
        <v>0</v>
      </c>
      <c r="AK15" s="118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0">
        <f>IF([1]Summ!$H1054="",0,[1]Summ!$H1054)</f>
        <v>0</v>
      </c>
      <c r="C16" s="101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IF(I$24&lt;=1+I113,I16,B16*H16+J$25*(I16-B16*H16))</f>
        <v>0</v>
      </c>
      <c r="K16" s="22">
        <f t="shared" si="4"/>
        <v>0</v>
      </c>
      <c r="L16" s="22">
        <f t="shared" si="5"/>
        <v>0</v>
      </c>
      <c r="M16" s="228">
        <f t="shared" si="6"/>
        <v>0</v>
      </c>
      <c r="N16" s="233"/>
      <c r="O16" s="2"/>
      <c r="P16" s="22"/>
      <c r="Q16" s="125" t="s">
        <v>79</v>
      </c>
      <c r="R16" s="226">
        <f>IF($B$68=0,0,(SUMIF($N$6:$N$20,$U16,K$6:K$20)+SUMIF($N$78:$N$100,$U16,K$78:K$100))*$I$70*Poor!$B$68/$B$68)</f>
        <v>34182.400000000001</v>
      </c>
      <c r="S16" s="226">
        <f>IF($B$68=0,0,(SUMIF($N$6:$N$20,$U16,L$6:L$20)+SUMIF($N$78:$N$100,$U16,L$78:L$100))*$I$70*Poor!$B$68/$B$68)</f>
        <v>33572.000000000007</v>
      </c>
      <c r="T16" s="226">
        <f>IF($B$68=0,0,(SUMIF($N$6:$N$20,$U16,M$6:M$20)+SUMIF($N$78:$N$100,$U16,M$78:M$100))*$I$70*Poor!$B$68/$B$68)</f>
        <v>33362.392322837586</v>
      </c>
      <c r="U16" s="227">
        <v>10</v>
      </c>
      <c r="V16" s="56"/>
      <c r="W16" s="109"/>
      <c r="X16" s="117"/>
      <c r="Y16" s="184">
        <f t="shared" si="9"/>
        <v>0</v>
      </c>
      <c r="Z16" s="155">
        <f>Poor!Z16</f>
        <v>0</v>
      </c>
      <c r="AA16" s="120">
        <f t="shared" si="16"/>
        <v>0</v>
      </c>
      <c r="AB16" s="155">
        <f>Poor!AB16</f>
        <v>0</v>
      </c>
      <c r="AC16" s="120">
        <f t="shared" si="7"/>
        <v>0</v>
      </c>
      <c r="AD16" s="155">
        <f>Poor!AD16</f>
        <v>0</v>
      </c>
      <c r="AE16" s="120">
        <f t="shared" si="8"/>
        <v>0</v>
      </c>
      <c r="AF16" s="121">
        <f t="shared" si="10"/>
        <v>1</v>
      </c>
      <c r="AG16" s="120">
        <f t="shared" si="11"/>
        <v>0</v>
      </c>
      <c r="AH16" s="122">
        <f t="shared" si="12"/>
        <v>1</v>
      </c>
      <c r="AI16" s="184">
        <f t="shared" si="13"/>
        <v>0</v>
      </c>
      <c r="AJ16" s="119">
        <f t="shared" si="14"/>
        <v>0</v>
      </c>
      <c r="AK16" s="118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0">
        <f>IF([1]Summ!$H1055="",0,[1]Summ!$H1055)</f>
        <v>0</v>
      </c>
      <c r="C17" s="101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>IF(I$24&lt;=1+I113,I17,B17*H17+J$25*(I17-B17*H17))</f>
        <v>0</v>
      </c>
      <c r="K17" s="22">
        <f t="shared" si="4"/>
        <v>0</v>
      </c>
      <c r="L17" s="22">
        <f t="shared" si="5"/>
        <v>0</v>
      </c>
      <c r="M17" s="229">
        <f t="shared" si="6"/>
        <v>0</v>
      </c>
      <c r="N17" s="233"/>
      <c r="O17" s="2"/>
      <c r="P17" s="22"/>
      <c r="Q17" s="125" t="s">
        <v>126</v>
      </c>
      <c r="R17" s="226">
        <f>IF($B$68=0,0,(SUMIF($N$6:$N$20,$U17,K$6:K$20)+SUMIF($N$78:$N$100,$U17,K$78:K$100))*$I$70*Poor!$B$68/$B$68)</f>
        <v>6854.4000000000005</v>
      </c>
      <c r="S17" s="226">
        <f>IF($B$68=0,0,(SUMIF($N$6:$N$20,$U17,L$6:L$20)+SUMIF($N$78:$N$100,$U17,L$78:L$100))*$I$70*Poor!$B$68/$B$68)</f>
        <v>6426</v>
      </c>
      <c r="T17" s="226">
        <f>IF($B$68=0,0,(SUMIF($N$6:$N$20,$U17,M$6:M$20)+SUMIF($N$78:$N$100,$U17,M$78:M$100))*$I$70*Poor!$B$68/$B$68)</f>
        <v>6426</v>
      </c>
      <c r="U17" s="227">
        <v>11</v>
      </c>
      <c r="V17" s="56"/>
      <c r="W17" s="109"/>
      <c r="X17" s="117"/>
      <c r="Y17" s="184">
        <f t="shared" si="9"/>
        <v>0</v>
      </c>
      <c r="Z17" s="155">
        <f>Poor!Z17</f>
        <v>0.29409999999999997</v>
      </c>
      <c r="AA17" s="120">
        <f t="shared" si="16"/>
        <v>0</v>
      </c>
      <c r="AB17" s="155">
        <f>Poor!AB17</f>
        <v>0.17649999999999999</v>
      </c>
      <c r="AC17" s="120">
        <f t="shared" si="7"/>
        <v>0</v>
      </c>
      <c r="AD17" s="155">
        <f>Poor!AD17</f>
        <v>0.23530000000000001</v>
      </c>
      <c r="AE17" s="120">
        <f t="shared" si="8"/>
        <v>0</v>
      </c>
      <c r="AF17" s="121">
        <f t="shared" si="10"/>
        <v>0.29410000000000003</v>
      </c>
      <c r="AG17" s="120">
        <f t="shared" si="11"/>
        <v>0</v>
      </c>
      <c r="AH17" s="122">
        <f t="shared" si="12"/>
        <v>1</v>
      </c>
      <c r="AI17" s="184">
        <f t="shared" si="13"/>
        <v>0</v>
      </c>
      <c r="AJ17" s="119">
        <f t="shared" si="14"/>
        <v>0</v>
      </c>
      <c r="AK17" s="118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Food aid</v>
      </c>
      <c r="B18" s="100">
        <f>IF([1]Summ!$H1056="",0,[1]Summ!$H1056)</f>
        <v>7.9365079365079375E-2</v>
      </c>
      <c r="C18" s="101">
        <f>IF([1]Summ!$I1056="",0,[1]Summ!$I1056)</f>
        <v>0</v>
      </c>
      <c r="D18" s="24">
        <f t="shared" si="0"/>
        <v>7.9365079365079375E-2</v>
      </c>
      <c r="E18" s="75">
        <f>Poor!E18</f>
        <v>1</v>
      </c>
      <c r="F18" s="22"/>
      <c r="H18" s="24">
        <f t="shared" si="1"/>
        <v>1</v>
      </c>
      <c r="I18" s="22">
        <f t="shared" si="2"/>
        <v>7.9365079365079375E-2</v>
      </c>
      <c r="J18" s="24">
        <f>IF(I$24&lt;=1+I113,I18,B18*H18+J$25*(I18-B18*H18))</f>
        <v>7.9365079365079375E-2</v>
      </c>
      <c r="K18" s="22">
        <f t="shared" si="4"/>
        <v>7.9365079365079375E-2</v>
      </c>
      <c r="L18" s="22">
        <f t="shared" si="5"/>
        <v>7.9365079365079375E-2</v>
      </c>
      <c r="M18" s="228">
        <f t="shared" si="6"/>
        <v>7.9365079365079375E-2</v>
      </c>
      <c r="N18" s="233"/>
      <c r="O18" s="2"/>
      <c r="P18" s="22"/>
      <c r="Q18" s="59" t="s">
        <v>80</v>
      </c>
      <c r="R18" s="226">
        <f>IF($B$68=0,0,(SUMIF($N$6:$N$20,$U18,K$6:K$20)+SUMIF($N$78:$N$100,$U18,K$78:K$100))*$I$70*Poor!$B$68/$B$68)</f>
        <v>19.756243093922656</v>
      </c>
      <c r="S18" s="226">
        <f>IF($B$68=0,0,(SUMIF($N$6:$N$20,$U18,L$6:L$20)+SUMIF($N$78:$N$100,$U18,L$78:L$100))*$I$70*Poor!$B$68/$B$68)</f>
        <v>19.756243093922656</v>
      </c>
      <c r="T18" s="226">
        <f>IF($B$68=0,0,(SUMIF($N$6:$N$20,$U18,M$6:M$20)+SUMIF($N$78:$N$100,$U18,M$78:M$100))*$I$70*Poor!$B$68/$B$68)</f>
        <v>20.372986246605436</v>
      </c>
      <c r="U18" s="227">
        <v>12</v>
      </c>
      <c r="V18" s="56"/>
      <c r="W18" s="109"/>
      <c r="X18" s="117"/>
      <c r="Y18" s="184">
        <f t="shared" si="9"/>
        <v>0.3174603174603175</v>
      </c>
      <c r="Z18" s="155">
        <f>Poor!Z18</f>
        <v>0.25</v>
      </c>
      <c r="AA18" s="120">
        <f t="shared" si="16"/>
        <v>7.9365079365079375E-2</v>
      </c>
      <c r="AB18" s="155">
        <f>Poor!AB18</f>
        <v>0.25</v>
      </c>
      <c r="AC18" s="120">
        <f t="shared" si="7"/>
        <v>7.9365079365079375E-2</v>
      </c>
      <c r="AD18" s="155">
        <f>Poor!AD18</f>
        <v>0.25</v>
      </c>
      <c r="AE18" s="120">
        <f t="shared" si="8"/>
        <v>7.9365079365079375E-2</v>
      </c>
      <c r="AF18" s="121">
        <f t="shared" si="10"/>
        <v>0.25</v>
      </c>
      <c r="AG18" s="120">
        <f t="shared" si="11"/>
        <v>7.9365079365079375E-2</v>
      </c>
      <c r="AH18" s="122">
        <f t="shared" si="12"/>
        <v>1</v>
      </c>
      <c r="AI18" s="184">
        <f t="shared" si="13"/>
        <v>7.9365079365079375E-2</v>
      </c>
      <c r="AJ18" s="119">
        <f t="shared" si="14"/>
        <v>7.9365079365079375E-2</v>
      </c>
      <c r="AK18" s="118">
        <f t="shared" si="15"/>
        <v>7.9365079365079375E-2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Purchase - other</v>
      </c>
      <c r="B19" s="100">
        <f>IF([1]Summ!$H1057="",0,[1]Summ!$H1057)</f>
        <v>9.0201295143212956E-3</v>
      </c>
      <c r="C19" s="101">
        <f>IF([1]Summ!$I1057="",0,[1]Summ!$I1057)</f>
        <v>-9.0201295143212956E-3</v>
      </c>
      <c r="D19" s="24">
        <f>(B19+C19)</f>
        <v>0</v>
      </c>
      <c r="E19" s="75">
        <f>Poor!E19</f>
        <v>1</v>
      </c>
      <c r="F19" s="22"/>
      <c r="H19" s="24">
        <f t="shared" si="1"/>
        <v>1</v>
      </c>
      <c r="I19" s="29">
        <f t="shared" si="2"/>
        <v>0</v>
      </c>
      <c r="J19" s="97">
        <f>IF(I$24&lt;=1+I113,I19,B19*H19+J$25*(I19-B19*H19))</f>
        <v>9.3017166099964247E-3</v>
      </c>
      <c r="K19" s="22">
        <f t="shared" si="4"/>
        <v>9.0201295143212956E-3</v>
      </c>
      <c r="L19" s="22">
        <f t="shared" si="5"/>
        <v>9.0201295143212956E-3</v>
      </c>
      <c r="M19" s="230">
        <f t="shared" si="6"/>
        <v>9.3017166099964247E-3</v>
      </c>
      <c r="N19" s="233"/>
      <c r="O19" s="2"/>
      <c r="P19" s="22"/>
      <c r="Q19" s="59" t="s">
        <v>81</v>
      </c>
      <c r="R19" s="226">
        <f>IF($B$68=0,0,(SUMIF($N$6:$N$20,$U19,K$6:K$20)+SUMIF($N$78:$N$100,$U19,K$78:K$100))*$I$70*Poor!$B$68/$B$68)</f>
        <v>0</v>
      </c>
      <c r="S19" s="226">
        <f>IF($B$68=0,0,(SUMIF($N$6:$N$20,$U19,L$6:L$20)+SUMIF($N$78:$N$100,$U19,L$78:L$100))*$I$70*Poor!$B$68/$B$68)</f>
        <v>0</v>
      </c>
      <c r="T19" s="226">
        <f>IF($B$68=0,0,(SUMIF($N$6:$N$20,$U19,M$6:M$20)+SUMIF($N$78:$N$100,$U19,M$78:M$100))*$I$70*Poor!$B$68/$B$68)</f>
        <v>0</v>
      </c>
      <c r="U19" s="227">
        <v>13</v>
      </c>
      <c r="V19" s="56"/>
      <c r="W19" s="109"/>
      <c r="X19" s="117"/>
      <c r="Y19" s="184">
        <f t="shared" si="9"/>
        <v>3.7206866439985699E-2</v>
      </c>
      <c r="Z19" s="155">
        <f>Poor!Z19</f>
        <v>0.25</v>
      </c>
      <c r="AA19" s="120">
        <f t="shared" si="16"/>
        <v>9.3017166099964247E-3</v>
      </c>
      <c r="AB19" s="155">
        <f>Poor!AB19</f>
        <v>0.25</v>
      </c>
      <c r="AC19" s="120">
        <f t="shared" si="7"/>
        <v>9.3017166099964247E-3</v>
      </c>
      <c r="AD19" s="155">
        <f>Poor!AD19</f>
        <v>0.25</v>
      </c>
      <c r="AE19" s="120">
        <f t="shared" si="8"/>
        <v>9.3017166099964247E-3</v>
      </c>
      <c r="AF19" s="121">
        <f t="shared" si="10"/>
        <v>0.25</v>
      </c>
      <c r="AG19" s="120">
        <f t="shared" si="11"/>
        <v>9.3017166099964247E-3</v>
      </c>
      <c r="AH19" s="122">
        <f t="shared" si="12"/>
        <v>1</v>
      </c>
      <c r="AI19" s="184">
        <f t="shared" si="13"/>
        <v>9.3017166099964247E-3</v>
      </c>
      <c r="AJ19" s="119">
        <f t="shared" si="14"/>
        <v>9.3017166099964247E-3</v>
      </c>
      <c r="AK19" s="118">
        <f t="shared" si="15"/>
        <v>9.3017166099964247E-3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Purchase - desirable</v>
      </c>
      <c r="B20" s="100">
        <f>IF([1]Summ!$H1058="",0,[1]Summ!$H1058)</f>
        <v>2.5809041095890412E-3</v>
      </c>
      <c r="C20" s="101">
        <f>IF([1]Summ!$I1058="",0,[1]Summ!$I1058)</f>
        <v>-2.5809041095890412E-3</v>
      </c>
      <c r="D20" s="24">
        <f t="shared" si="0"/>
        <v>0</v>
      </c>
      <c r="E20" s="75">
        <f>Poor!E20</f>
        <v>1</v>
      </c>
      <c r="F20" s="22"/>
      <c r="H20" s="24">
        <f t="shared" si="1"/>
        <v>1</v>
      </c>
      <c r="I20" s="29">
        <f t="shared" si="2"/>
        <v>0</v>
      </c>
      <c r="J20" s="97">
        <f>IF(I$24&lt;=1+I113,I20,B20*H20+J$25*(I20-B20*H20))</f>
        <v>2.6614738277157398E-3</v>
      </c>
      <c r="K20" s="22">
        <f t="shared" si="4"/>
        <v>2.5809041095890412E-3</v>
      </c>
      <c r="L20" s="22">
        <f t="shared" si="5"/>
        <v>2.5809041095890412E-3</v>
      </c>
      <c r="M20" s="228">
        <f t="shared" si="6"/>
        <v>2.6614738277157398E-3</v>
      </c>
      <c r="N20" s="233">
        <v>12</v>
      </c>
      <c r="O20" s="2"/>
      <c r="P20" s="22"/>
      <c r="Q20" s="59" t="s">
        <v>82</v>
      </c>
      <c r="R20" s="226">
        <f>IF($B$68=0,0,(SUMIF($N$6:$N$20,$U20,K$6:K$20)+SUMIF($N$78:$N$100,$U20,K$78:K$100))*$I$70*Poor!$B$68/$B$68)</f>
        <v>9310.4516129032272</v>
      </c>
      <c r="S20" s="226">
        <f>IF($B$68=0,0,(SUMIF($N$6:$N$20,$U20,L$6:L$20)+SUMIF($N$78:$N$100,$U20,L$78:L$100))*$I$70*Poor!$B$68/$B$68)</f>
        <v>9227.3225806451628</v>
      </c>
      <c r="T20" s="226">
        <f>IF($B$68=0,0,(SUMIF($N$6:$N$20,$U20,M$6:M$20)+SUMIF($N$78:$N$100,$U20,M$78:M$100))*$I$70*Poor!$B$68/$B$68)</f>
        <v>9227.3225806451628</v>
      </c>
      <c r="U20" s="227">
        <v>14</v>
      </c>
      <c r="V20" s="56"/>
      <c r="W20" s="109"/>
      <c r="X20" s="117"/>
      <c r="Y20" s="184">
        <f t="shared" si="9"/>
        <v>1.0645895310862959E-2</v>
      </c>
      <c r="Z20" s="155">
        <f>Poor!Z20</f>
        <v>0</v>
      </c>
      <c r="AA20" s="120">
        <f t="shared" si="16"/>
        <v>0</v>
      </c>
      <c r="AB20" s="155">
        <f>Poor!AB20</f>
        <v>0</v>
      </c>
      <c r="AC20" s="120">
        <f t="shared" si="7"/>
        <v>0</v>
      </c>
      <c r="AD20" s="155">
        <f>Poor!AD20</f>
        <v>0.5</v>
      </c>
      <c r="AE20" s="120">
        <f t="shared" si="8"/>
        <v>5.3229476554314797E-3</v>
      </c>
      <c r="AF20" s="121">
        <f t="shared" si="10"/>
        <v>0.5</v>
      </c>
      <c r="AG20" s="120">
        <f t="shared" si="11"/>
        <v>5.3229476554314797E-3</v>
      </c>
      <c r="AH20" s="122">
        <f t="shared" si="12"/>
        <v>1</v>
      </c>
      <c r="AI20" s="184">
        <f t="shared" si="13"/>
        <v>2.6614738277157398E-3</v>
      </c>
      <c r="AJ20" s="119">
        <f t="shared" si="14"/>
        <v>0</v>
      </c>
      <c r="AK20" s="118">
        <f t="shared" si="15"/>
        <v>5.3229476554314797E-3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Purchase - fpl non staple</v>
      </c>
      <c r="B21" s="100">
        <f>IF([1]Summ!$H1059="",0,[1]Summ!$H1059)</f>
        <v>0.14096737235367371</v>
      </c>
      <c r="C21" s="101">
        <f>IF([1]Summ!$I1059="",0,[1]Summ!$I1059)</f>
        <v>0.27082172363463786</v>
      </c>
      <c r="D21" s="24">
        <f t="shared" si="0"/>
        <v>0.41178909598831159</v>
      </c>
      <c r="E21" s="75">
        <f>Poor!E21</f>
        <v>1</v>
      </c>
      <c r="F21" s="22"/>
      <c r="H21" s="24">
        <f t="shared" si="1"/>
        <v>1</v>
      </c>
      <c r="I21" s="29">
        <f t="shared" si="2"/>
        <v>0.41178909598831159</v>
      </c>
      <c r="J21" s="97">
        <f>IF(I$24&lt;=1+I113,I21,B21*H21+J$25*(I21-B21*H21))</f>
        <v>0.13251295909021316</v>
      </c>
      <c r="K21" s="22">
        <f t="shared" si="4"/>
        <v>0.14096737235367371</v>
      </c>
      <c r="L21" s="22">
        <f t="shared" si="5"/>
        <v>0.14096737235367371</v>
      </c>
      <c r="M21" s="228">
        <f t="shared" si="6"/>
        <v>0.13251295909021316</v>
      </c>
      <c r="N21" s="233"/>
      <c r="P21" s="22"/>
      <c r="Q21" s="59" t="s">
        <v>83</v>
      </c>
      <c r="R21" s="226">
        <f>IF($B$68=0,0,(SUMIF($N$6:$N$20,$U21,K$6:K$20)+SUMIF($N$78:$N$100,$U21,K$78:K$100))*$I$70*Poor!$B$68/$B$68)</f>
        <v>0</v>
      </c>
      <c r="S21" s="226">
        <f>IF($B$68=0,0,(SUMIF($N$6:$N$20,$U21,L$6:L$20)+SUMIF($N$78:$N$100,$U21,L$78:L$100))*$I$70*Poor!$B$68/$B$68)</f>
        <v>0</v>
      </c>
      <c r="T21" s="226">
        <f>IF($B$68=0,0,(SUMIF($N$6:$N$20,$U21,M$6:M$20)+SUMIF($N$78:$N$100,$U21,M$78:M$100))*$I$70*Poor!$B$68/$B$68)</f>
        <v>0</v>
      </c>
      <c r="U21" s="227">
        <v>15</v>
      </c>
      <c r="V21" s="56"/>
      <c r="W21" s="109"/>
      <c r="X21" s="117"/>
      <c r="Y21" s="184">
        <f t="shared" si="9"/>
        <v>0.53005183636085262</v>
      </c>
      <c r="Z21" s="155">
        <f>Poor!Z21</f>
        <v>0.25</v>
      </c>
      <c r="AA21" s="120">
        <f t="shared" si="16"/>
        <v>0.13251295909021316</v>
      </c>
      <c r="AB21" s="155">
        <f>Poor!AB21</f>
        <v>0.25</v>
      </c>
      <c r="AC21" s="120">
        <f t="shared" si="7"/>
        <v>0.13251295909021316</v>
      </c>
      <c r="AD21" s="155">
        <f>Poor!AD21</f>
        <v>0.25</v>
      </c>
      <c r="AE21" s="120">
        <f t="shared" si="8"/>
        <v>0.13251295909021316</v>
      </c>
      <c r="AF21" s="121">
        <f t="shared" si="10"/>
        <v>0.25</v>
      </c>
      <c r="AG21" s="120">
        <f t="shared" si="11"/>
        <v>0.13251295909021316</v>
      </c>
      <c r="AH21" s="122">
        <f t="shared" si="12"/>
        <v>1</v>
      </c>
      <c r="AI21" s="184">
        <f t="shared" si="13"/>
        <v>0.13251295909021316</v>
      </c>
      <c r="AJ21" s="119">
        <f t="shared" si="14"/>
        <v>0.13251295909021316</v>
      </c>
      <c r="AK21" s="118">
        <f t="shared" si="15"/>
        <v>0.13251295909021316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 thickBot="1">
      <c r="A22" s="94" t="s">
        <v>57</v>
      </c>
      <c r="B22" s="100">
        <f>IF([1]Summ!$H1060="",0,[1]Summ!$H1060)</f>
        <v>0.64194124034869238</v>
      </c>
      <c r="C22" s="102"/>
      <c r="D22" s="24">
        <f>(D101-B106)</f>
        <v>18.637131395513286</v>
      </c>
      <c r="E22" s="75">
        <f>Poor!E22</f>
        <v>1</v>
      </c>
      <c r="H22" s="97">
        <f>(E22*F$7/F$9)</f>
        <v>1</v>
      </c>
      <c r="I22" s="29">
        <f>IF(E22&gt;=1,I101-SUM(I106,I107),MIN(I101-SUM(I106,I107),B22*H22))</f>
        <v>16.18460279548917</v>
      </c>
      <c r="J22" s="243">
        <f>IF(I$24&lt;=$B$24,I22,$B$24-SUM(J6:J21))</f>
        <v>0.65003349679835098</v>
      </c>
      <c r="K22" s="22">
        <f t="shared" si="4"/>
        <v>0.64194124034869238</v>
      </c>
      <c r="L22" s="22">
        <f>IF(L106=L101,0,IF(K22="",0,(L101-L106)/(B101-B106)*K22))</f>
        <v>0.61505398123875266</v>
      </c>
      <c r="M22" s="174">
        <f t="shared" si="6"/>
        <v>0.65003349679835098</v>
      </c>
      <c r="N22" s="165" t="s">
        <v>87</v>
      </c>
      <c r="O22" s="2"/>
      <c r="P22" s="22"/>
      <c r="Q22" s="59" t="s">
        <v>84</v>
      </c>
      <c r="R22" s="226">
        <f>IF($B$68=0,0,(SUMIF($N$6:$N$20,$U22,K$6:K$20)+SUMIF($N$78:$N$100,$U22,K$78:K$100))*$I$70*Poor!$B$68/$B$68)</f>
        <v>0</v>
      </c>
      <c r="S22" s="226">
        <f>IF($B$68=0,0,(SUMIF($N$6:$N$20,$U22,L$6:L$20)+SUMIF($N$78:$N$100,$U22,L$78:L$100))*$I$70*Poor!$B$68/$B$68)</f>
        <v>0</v>
      </c>
      <c r="T22" s="226">
        <f>IF($B$68=0,0,(SUMIF($N$6:$N$20,$U22,M$6:M$20)+SUMIF($N$78:$N$100,$U22,M$78:M$100))*$I$70*Poor!$B$68/$B$68)</f>
        <v>0</v>
      </c>
      <c r="U22" s="227">
        <v>16</v>
      </c>
      <c r="V22" s="56"/>
      <c r="W22" s="109"/>
      <c r="X22" s="117"/>
      <c r="Y22" s="184">
        <f>M22*4</f>
        <v>2.6001339871934039</v>
      </c>
      <c r="Z22" s="121">
        <f>IF($Y22=0,0,AA22/($Y$22))</f>
        <v>-8.5397370296562E-17</v>
      </c>
      <c r="AA22" s="188">
        <f>IF(AA66*4/$I$70+SUM(AA6:AA21)&lt;1,AA66*4/$I$70,1-SUM(AA6:AA21))</f>
        <v>-2.2204460492503131E-16</v>
      </c>
      <c r="AB22" s="121">
        <f>IF($Y22=0,0,AC22/($Y$22))</f>
        <v>-8.5397370296562E-17</v>
      </c>
      <c r="AC22" s="188">
        <f>IF(AC66*4/$I$70+SUM(AC6:AC21)&lt;1,AC66*4/$I$70,1-SUM(AC6:AC21))</f>
        <v>-2.2204460492503131E-16</v>
      </c>
      <c r="AD22" s="121">
        <f>IF($Y22=0,0,AE22/($Y$22))</f>
        <v>7.8895238882834173E-2</v>
      </c>
      <c r="AE22" s="188">
        <f>IF(AE66*4/$I$70+SUM(AE6:AE21)&lt;1,AE66*4/$I$70,1-SUM(AE6:AE21))</f>
        <v>0.20513819204699968</v>
      </c>
      <c r="AF22" s="121">
        <f>IF($Y22=0,0,AG22/($Y$22))</f>
        <v>0.20093733055033922</v>
      </c>
      <c r="AG22" s="188">
        <f>IF(AG66*4/$I$70+SUM(AG6:AG21)&lt;1,AG66*4/$I$70,1-SUM(AG6:AG21))</f>
        <v>0.52246398245985248</v>
      </c>
      <c r="AH22" s="122">
        <f t="shared" si="12"/>
        <v>0.27983256943317325</v>
      </c>
      <c r="AI22" s="184">
        <f t="shared" si="13"/>
        <v>0.18190054362671293</v>
      </c>
      <c r="AJ22" s="119">
        <f t="shared" si="14"/>
        <v>-2.2204460492503131E-16</v>
      </c>
      <c r="AK22" s="118">
        <f t="shared" si="15"/>
        <v>0.36380108725342608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95" t="s">
        <v>58</v>
      </c>
      <c r="B23" s="100" t="str">
        <f>IF(1-$B$24&gt;0,1-$B$24,"")</f>
        <v/>
      </c>
      <c r="C23" s="77"/>
      <c r="D23" s="24"/>
      <c r="E23" s="22"/>
      <c r="F23" s="22"/>
      <c r="H23" s="24"/>
      <c r="I23" s="29"/>
      <c r="J23" s="244">
        <f>($B$24-SUM(J6:J22))</f>
        <v>0</v>
      </c>
      <c r="K23" s="22" t="str">
        <f t="shared" si="4"/>
        <v/>
      </c>
      <c r="L23" s="22">
        <f>(1-SUM(L6:L22))</f>
        <v>-0.44124569406169822</v>
      </c>
      <c r="M23" s="177">
        <f t="shared" si="6"/>
        <v>0</v>
      </c>
      <c r="N23" s="166">
        <f>M23*I70</f>
        <v>0</v>
      </c>
      <c r="P23" s="22"/>
      <c r="Q23" s="170" t="s">
        <v>101</v>
      </c>
      <c r="R23" s="179">
        <f>SUM(R7:R22)</f>
        <v>157003.92153281462</v>
      </c>
      <c r="S23" s="179">
        <f>SUM(S7:S22)</f>
        <v>151638.26750055657</v>
      </c>
      <c r="T23" s="179">
        <f>SUM(T7:T22)</f>
        <v>151415.66567841941</v>
      </c>
      <c r="U23" s="242" t="s">
        <v>140</v>
      </c>
      <c r="V23" s="56"/>
      <c r="W23" s="128" t="s">
        <v>85</v>
      </c>
      <c r="X23" s="129"/>
      <c r="Y23" s="120">
        <f>M23*4</f>
        <v>0</v>
      </c>
      <c r="Z23" s="130"/>
      <c r="AA23" s="131">
        <f>1-AA24+IF($Y24&lt;0,$Y24/4,0)</f>
        <v>0</v>
      </c>
      <c r="AB23" s="130"/>
      <c r="AC23" s="132">
        <f>1-AC24+IF($Y24&lt;0,$Y24/4,0)</f>
        <v>0</v>
      </c>
      <c r="AD23" s="133"/>
      <c r="AE23" s="132">
        <f>1-AE24+IF($Y24&lt;0,$Y24/4,0)</f>
        <v>0</v>
      </c>
      <c r="AF23" s="133"/>
      <c r="AG23" s="132">
        <f>1-AG24+IF($Y24&lt;0,$Y24/4,0)</f>
        <v>0</v>
      </c>
      <c r="AH23" s="122"/>
      <c r="AI23" s="183">
        <f>SUM(AA23,AC23,AE23,AG23)/4</f>
        <v>0</v>
      </c>
      <c r="AJ23" s="134">
        <f t="shared" si="14"/>
        <v>0</v>
      </c>
      <c r="AK23" s="135">
        <f t="shared" si="15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>
      <c r="A24" s="22" t="s">
        <v>24</v>
      </c>
      <c r="B24" s="77">
        <f>SUM(B6:B22)</f>
        <v>1.4681329531716381</v>
      </c>
      <c r="C24" s="77">
        <f>SUM(C6:C23)</f>
        <v>0.25922069001072751</v>
      </c>
      <c r="D24" s="24">
        <f>SUM(D6:D22)</f>
        <v>19.722543798346958</v>
      </c>
      <c r="E24" s="2"/>
      <c r="F24" s="2"/>
      <c r="H24" s="17"/>
      <c r="I24" s="22">
        <f>SUM(I6:I22)</f>
        <v>17.270015198322842</v>
      </c>
      <c r="J24" s="17"/>
      <c r="L24" s="22">
        <f>SUM(L6:L22)</f>
        <v>1.4412456940616982</v>
      </c>
      <c r="M24" s="23"/>
      <c r="N24" s="56"/>
      <c r="O24" s="2"/>
      <c r="P24" s="22"/>
      <c r="Q24" s="59" t="s">
        <v>136</v>
      </c>
      <c r="R24" s="41">
        <f>IF($B$68=0,0,($B$106*$H$106)+1-($D$21*$H$21)-($D$20*$H$20))*$I$70*Poor!$B$68/$B$68</f>
        <v>21863.869686861162</v>
      </c>
      <c r="S24" s="41">
        <f>IF($B$68=0,0,($B$106*($H$106)+1-($D$21*$H$21)-($D$20*$H$20))*$I$70*Poor!$B$68/$B$68)</f>
        <v>21863.869686861162</v>
      </c>
      <c r="T24" s="41">
        <f>IF($B$68=0,0,($B$106*($H$106)+1-($D$21*$H$21)-($D$20*$H$20))*$I$70*Poor!$B$68/$B$68)</f>
        <v>21863.869686861162</v>
      </c>
      <c r="U24" s="240">
        <f>T24/Poor!$B$68/12</f>
        <v>303.66485676196061</v>
      </c>
      <c r="V24" s="56"/>
      <c r="W24" s="109"/>
      <c r="X24" s="117"/>
      <c r="Y24" s="114">
        <f>SUM(Y6:Y23)</f>
        <v>5.8725318126865522</v>
      </c>
      <c r="Z24" s="136"/>
      <c r="AA24" s="137">
        <f>SUM(AA6:AA22)</f>
        <v>1</v>
      </c>
      <c r="AB24" s="136"/>
      <c r="AC24" s="138">
        <f>SUM(AC6:AC22)</f>
        <v>1</v>
      </c>
      <c r="AD24" s="136"/>
      <c r="AE24" s="138">
        <f>SUM(AE6:AE22)</f>
        <v>1</v>
      </c>
      <c r="AF24" s="136"/>
      <c r="AG24" s="138">
        <f>SUM(AG6:AG22)</f>
        <v>1</v>
      </c>
      <c r="AH24" s="126"/>
      <c r="AI24" s="109"/>
      <c r="AJ24" s="139">
        <f>SUM(AJ6:AJ23)</f>
        <v>1</v>
      </c>
      <c r="AK24" s="140">
        <f>SUM(AK6:AK23)</f>
        <v>1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</row>
    <row r="25" spans="1:89" ht="14" customHeight="1" thickBot="1">
      <c r="A25" s="11"/>
      <c r="B25" s="11"/>
      <c r="C25" s="11"/>
      <c r="D25" s="10"/>
      <c r="E25" s="11"/>
      <c r="F25" s="11"/>
      <c r="G25" s="11"/>
      <c r="H25" s="10"/>
      <c r="I25" s="235" t="s">
        <v>25</v>
      </c>
      <c r="J25" s="236">
        <f>(1+K107*H107-L24-L107)/(I24-L24-L107)</f>
        <v>-3.1217633319793422E-2</v>
      </c>
      <c r="K25" s="14"/>
      <c r="L25" s="11"/>
      <c r="M25" s="30"/>
      <c r="N25" s="167" t="s">
        <v>88</v>
      </c>
      <c r="O25" s="2"/>
      <c r="P25" s="2"/>
      <c r="Q25" s="141" t="s">
        <v>137</v>
      </c>
      <c r="R25" s="41">
        <f>IF($B$68=0,0,($B$57+$B$58+((1-$D$21)*$B$70))*$H$71*Poor!$B$68/$B$68)</f>
        <v>35134.825989516001</v>
      </c>
      <c r="S25" s="41">
        <f>IF($B$68=0,0,(($B$57*$H$57)+($B$58*$H$58)+((1-($D$21*$H$21))*$I$70))*Poor!$B$68/$B$68)</f>
        <v>34833.109686861164</v>
      </c>
      <c r="T25" s="41">
        <f>IF($B$68=0,0,(($B$57*$H$57)+($B$58*$H$58)+((1-($D$21*$H$21))*$I$70))*Poor!$B$68/$B$68)</f>
        <v>34833.109686861164</v>
      </c>
      <c r="U25" s="240">
        <f>T25/Poor!$B$68/12</f>
        <v>483.79319009529394</v>
      </c>
      <c r="V25" s="56"/>
      <c r="W25" s="109"/>
      <c r="X25" s="117"/>
      <c r="Y25" s="109"/>
      <c r="Z25" s="142"/>
      <c r="AA25" s="143"/>
      <c r="AB25" s="142"/>
      <c r="AC25" s="143"/>
      <c r="AD25" s="142"/>
      <c r="AE25" s="143"/>
      <c r="AF25" s="142"/>
      <c r="AG25" s="143"/>
      <c r="AH25" s="109"/>
      <c r="AI25" s="109"/>
      <c r="AJ25" s="142"/>
      <c r="AK25" s="143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</row>
    <row r="26" spans="1:89" ht="15.75" customHeight="1" thickBot="1">
      <c r="A26" s="73" t="s">
        <v>48</v>
      </c>
      <c r="B26" s="2"/>
      <c r="C26" s="2"/>
      <c r="D26" s="31"/>
      <c r="E26" s="32"/>
      <c r="F26" s="32"/>
      <c r="G26" s="32"/>
      <c r="H26" s="31"/>
      <c r="I26" s="2"/>
      <c r="J26" s="33"/>
      <c r="K26" s="34" t="s">
        <v>27</v>
      </c>
      <c r="L26" s="35"/>
      <c r="M26" s="36"/>
      <c r="N26" s="168">
        <f>-(M64*B63)</f>
        <v>0</v>
      </c>
      <c r="O26" s="2"/>
      <c r="P26" s="2"/>
      <c r="Q26" s="59" t="s">
        <v>138</v>
      </c>
      <c r="R26" s="41">
        <f>IF($B$68=0,0,($B$57+$B$58+$B$59+((1-$D$21)*$B$70))*$H$71*Poor!$B$68/$B$68)</f>
        <v>58769.031633614068</v>
      </c>
      <c r="S26" s="41">
        <f>IF($B$68=0,0,(($B$57*$H$57)+($B$58*$H$58)+($B$59*$H$59)+((1-($D$21*$H$21))*$I$70))*Poor!$B$68/$B$68)</f>
        <v>57929.989686861169</v>
      </c>
      <c r="T26" s="41">
        <f>IF($B$68=0,0,(($B$57*$H$57)+($B$58*$H$58)+($B$59*$H$59)+((1-($D$21*$H$21))*$I$70))*Poor!$B$68/$B$68)</f>
        <v>57929.989686861169</v>
      </c>
      <c r="U26" s="240">
        <f>T26/Poor!$B$68/12</f>
        <v>804.58319009529396</v>
      </c>
      <c r="V26" s="56"/>
      <c r="W26" s="109"/>
      <c r="X26" s="117"/>
      <c r="Y26" s="109"/>
      <c r="Z26" s="144"/>
      <c r="AA26" s="145"/>
      <c r="AB26" s="144"/>
      <c r="AC26" s="145"/>
      <c r="AD26" s="144"/>
      <c r="AE26" s="145"/>
      <c r="AF26" s="144"/>
      <c r="AG26" s="145"/>
      <c r="AH26" s="109"/>
      <c r="AI26" s="109"/>
      <c r="AJ26" s="144"/>
      <c r="AK26" s="145"/>
      <c r="AP26" s="25"/>
      <c r="AQ26" s="25"/>
      <c r="AR26" s="25"/>
      <c r="AS26" s="25"/>
      <c r="AT26" s="25"/>
      <c r="AU26" s="25"/>
      <c r="AW26" s="25"/>
      <c r="AX26" s="25"/>
      <c r="AY26" s="25"/>
      <c r="AZ26" s="25"/>
      <c r="BA26" s="25"/>
      <c r="BB26" s="25"/>
      <c r="BF26" s="25"/>
      <c r="BG26" s="25"/>
      <c r="BH26" s="25"/>
      <c r="BI26" s="25"/>
      <c r="BJ26" s="25"/>
      <c r="BK26" s="25"/>
      <c r="BM26" s="25"/>
      <c r="BN26" s="25"/>
      <c r="BO26" s="25"/>
      <c r="BP26" s="25"/>
      <c r="BQ26" s="25"/>
      <c r="BR26" s="25"/>
      <c r="BU26" s="25"/>
      <c r="BV26" s="25"/>
      <c r="BW26" s="25"/>
      <c r="BX26" s="25"/>
      <c r="BY26" s="25"/>
      <c r="BZ26" s="25"/>
      <c r="CB26" s="25"/>
      <c r="CC26" s="25"/>
      <c r="CD26" s="25"/>
      <c r="CE26" s="25"/>
      <c r="CF26" s="25"/>
      <c r="CG26" s="25"/>
    </row>
    <row r="27" spans="1:89" ht="14" customHeight="1">
      <c r="A27" s="2"/>
      <c r="B27" s="19" t="s">
        <v>7</v>
      </c>
      <c r="C27" s="19" t="s">
        <v>8</v>
      </c>
      <c r="D27" s="16" t="s">
        <v>9</v>
      </c>
      <c r="E27" s="19" t="s">
        <v>10</v>
      </c>
      <c r="F27" s="2" t="s">
        <v>28</v>
      </c>
      <c r="G27" s="2" t="s">
        <v>29</v>
      </c>
      <c r="H27" s="16" t="s">
        <v>12</v>
      </c>
      <c r="I27" s="19" t="s">
        <v>13</v>
      </c>
      <c r="J27" s="16" t="s">
        <v>14</v>
      </c>
      <c r="K27" s="37" t="s">
        <v>7</v>
      </c>
      <c r="L27" s="19" t="s">
        <v>15</v>
      </c>
      <c r="M27" s="16" t="s">
        <v>14</v>
      </c>
      <c r="N27" s="2"/>
      <c r="O27" s="2"/>
      <c r="P27" s="2"/>
      <c r="Q27" s="125" t="s">
        <v>139</v>
      </c>
      <c r="R27" s="41">
        <f>IF($B$68=0,0,($B$57+$B$58+$B$59+$B$60+(1-$D$21-$D$20)*$B$70)*$H$71*Poor!$B$68/$B$68)</f>
        <v>85188.275351497636</v>
      </c>
      <c r="S27" s="41">
        <f>IF($B$68=0,0,(($B$57*$H$57)+($B$58*$H$58)+($B$59*$H$59)+($B$60*$H$60)+((1-($D$20*$H$20)-($D$21*$H$21))*$I$70))*Poor!$B$68/$B$68)</f>
        <v>83748.58968686116</v>
      </c>
      <c r="T27" s="41">
        <f>IF($B$68=0,0,(($B$57*$H$57)+($B$58*$H$58)+($B$59*$H$59)+($B$60*$H$60)+((1-($D$20*$H$20)-($D$21*$H$21))*$I$70))*Poor!$B$68/$B$68)</f>
        <v>83748.58968686116</v>
      </c>
      <c r="U27" s="241">
        <f>T27/Poor!$B$68/12</f>
        <v>1163.1748567619604</v>
      </c>
      <c r="V27" s="56"/>
      <c r="W27" s="109"/>
      <c r="X27" s="117"/>
      <c r="Y27" s="109"/>
      <c r="Z27" s="144"/>
      <c r="AA27" s="145"/>
      <c r="AB27" s="144"/>
      <c r="AC27" s="145"/>
      <c r="AD27" s="144"/>
      <c r="AE27" s="145"/>
      <c r="AF27" s="144"/>
      <c r="AG27" s="145"/>
      <c r="AH27" s="109"/>
      <c r="AI27" s="109"/>
      <c r="AJ27" s="144"/>
      <c r="AK27" s="145"/>
      <c r="AP27" s="25"/>
      <c r="AQ27" s="25"/>
      <c r="AR27" s="25"/>
      <c r="AS27" s="25"/>
      <c r="AT27" s="25"/>
      <c r="AU27" s="25"/>
      <c r="AW27" s="25"/>
      <c r="AX27" s="25"/>
      <c r="AY27" s="25"/>
      <c r="AZ27" s="25"/>
      <c r="BA27" s="25"/>
      <c r="BB27" s="25"/>
      <c r="BF27" s="25"/>
      <c r="BG27" s="25"/>
      <c r="BH27" s="25"/>
      <c r="BI27" s="25"/>
      <c r="BJ27" s="25"/>
      <c r="BK27" s="25"/>
      <c r="BM27" s="25"/>
      <c r="BN27" s="25"/>
      <c r="BO27" s="25"/>
      <c r="BP27" s="25"/>
      <c r="BQ27" s="25"/>
      <c r="BR27" s="25"/>
      <c r="BU27" s="25"/>
      <c r="BV27" s="25"/>
      <c r="BW27" s="25"/>
      <c r="BX27" s="25"/>
      <c r="BY27" s="25"/>
      <c r="BZ27" s="25"/>
      <c r="CB27" s="25"/>
      <c r="CC27" s="25"/>
      <c r="CD27" s="25"/>
      <c r="CE27" s="25"/>
      <c r="CF27" s="25"/>
      <c r="CG27" s="25"/>
    </row>
    <row r="28" spans="1:89" ht="14" customHeight="1">
      <c r="A28" s="2" t="s">
        <v>30</v>
      </c>
      <c r="B28" s="19" t="s">
        <v>16</v>
      </c>
      <c r="C28" s="19" t="s">
        <v>17</v>
      </c>
      <c r="D28" s="16" t="s">
        <v>16</v>
      </c>
      <c r="E28" s="19" t="s">
        <v>18</v>
      </c>
      <c r="F28" s="2" t="s">
        <v>31</v>
      </c>
      <c r="G28" s="2" t="s">
        <v>31</v>
      </c>
      <c r="H28" s="16" t="s">
        <v>18</v>
      </c>
      <c r="I28" s="19" t="s">
        <v>16</v>
      </c>
      <c r="J28" s="16" t="s">
        <v>16</v>
      </c>
      <c r="K28" s="37" t="s">
        <v>16</v>
      </c>
      <c r="L28" s="19" t="s">
        <v>19</v>
      </c>
      <c r="M28" s="16" t="s">
        <v>16</v>
      </c>
      <c r="N28" s="2"/>
      <c r="O28" s="2"/>
      <c r="P28" s="2"/>
      <c r="U28" s="56"/>
      <c r="V28" s="56"/>
      <c r="W28" s="109"/>
      <c r="X28" s="117"/>
      <c r="Y28" s="109"/>
      <c r="Z28" s="144"/>
      <c r="AA28" s="145"/>
      <c r="AB28" s="144"/>
      <c r="AC28" s="145"/>
      <c r="AD28" s="144"/>
      <c r="AE28" s="145"/>
      <c r="AF28" s="144"/>
      <c r="AG28" s="145"/>
      <c r="AH28" s="109"/>
      <c r="AI28" s="109"/>
      <c r="AJ28" s="144"/>
      <c r="AK28" s="145"/>
      <c r="AP28" s="25"/>
      <c r="AQ28" s="25"/>
      <c r="AR28" s="25"/>
      <c r="AS28" s="25"/>
      <c r="AT28" s="25"/>
      <c r="AU28" s="25"/>
      <c r="AW28" s="25"/>
      <c r="AX28" s="25"/>
      <c r="AY28" s="25"/>
      <c r="AZ28" s="25"/>
      <c r="BA28" s="25"/>
      <c r="BB28" s="25"/>
      <c r="BF28" s="25"/>
      <c r="BG28" s="25"/>
      <c r="BH28" s="25"/>
      <c r="BI28" s="25"/>
      <c r="BJ28" s="25"/>
      <c r="BK28" s="25"/>
      <c r="BM28" s="25"/>
      <c r="BN28" s="25"/>
      <c r="BO28" s="25"/>
      <c r="BP28" s="25"/>
      <c r="BQ28" s="25"/>
      <c r="BR28" s="25"/>
      <c r="BU28" s="25"/>
      <c r="BV28" s="25"/>
      <c r="BW28" s="25"/>
      <c r="BX28" s="25"/>
      <c r="BY28" s="25"/>
      <c r="BZ28" s="25"/>
      <c r="CB28" s="25"/>
      <c r="CC28" s="25"/>
      <c r="CD28" s="25"/>
      <c r="CE28" s="25"/>
      <c r="CF28" s="25"/>
      <c r="CG28" s="25"/>
    </row>
    <row r="29" spans="1:89" ht="14" customHeight="1">
      <c r="A29" s="74" t="str">
        <f>IF(Poor!A29=0,"",Poor!A29)</f>
        <v>Cattle sales - local: no. sold</v>
      </c>
      <c r="B29" s="103">
        <f>IF([1]Summ!$H1064="",0,[1]Summ!$H1064)</f>
        <v>9000</v>
      </c>
      <c r="C29" s="103">
        <f>IF([1]Summ!$I1064="",0,[1]Summ!$I1064)</f>
        <v>0</v>
      </c>
      <c r="D29" s="38">
        <f t="shared" ref="D29:D51" si="17">B29+C29</f>
        <v>9000</v>
      </c>
      <c r="E29" s="75">
        <f>Poor!E29</f>
        <v>1</v>
      </c>
      <c r="F29" s="75">
        <f>Poor!F29</f>
        <v>1.1100000000000001</v>
      </c>
      <c r="G29" s="75">
        <f>Poor!G29</f>
        <v>1.1200000000000001</v>
      </c>
      <c r="H29" s="24">
        <f t="shared" ref="H29:H51" si="18">(E29*F29)</f>
        <v>1.1100000000000001</v>
      </c>
      <c r="I29" s="39">
        <f t="shared" ref="I29:I51" si="19">D29*H29</f>
        <v>9990</v>
      </c>
      <c r="J29" s="38">
        <f t="shared" ref="J29:J51" si="20">J78*I$70</f>
        <v>9990.0000000000036</v>
      </c>
      <c r="K29" s="40">
        <f t="shared" ref="K29:K51" si="21">(B29/B$52)</f>
        <v>6.6126436590909624E-2</v>
      </c>
      <c r="L29" s="22">
        <f t="shared" ref="L29:L51" si="22">(K29*H29)</f>
        <v>7.3400344615909691E-2</v>
      </c>
      <c r="M29" s="24">
        <f t="shared" ref="M29:M51" si="23">J29/B$52</f>
        <v>7.3400344615909718E-2</v>
      </c>
      <c r="N29" s="2"/>
      <c r="O29" s="2"/>
      <c r="P29" s="2"/>
      <c r="Q29" s="178"/>
      <c r="R29" s="180"/>
      <c r="S29" s="180"/>
      <c r="T29" s="180"/>
      <c r="U29" s="56"/>
      <c r="V29" s="56"/>
      <c r="W29" s="114"/>
      <c r="X29" s="117"/>
      <c r="Y29" s="109"/>
      <c r="Z29" s="121">
        <f>IF($J29=0,0,AA29/($J29))</f>
        <v>0</v>
      </c>
      <c r="AA29" s="146">
        <f>IF(SUM(AA$6:AA$21)+(SUM(AA$31:AA$51,-AA$57)/AA$70)&lt;1,IF(SUM(AA$6:AA$21)+(SUM(AA$31:AA$51,$J$29:$J$30,-AA$57)/AA$70)&lt;1,$J29,(AA$70-(SUM(AA$6:AA$21)*AA$70)-SUM(AA$31:AA$51,-AA$57))*($J29/SUM($J$29:$J$30))),0)</f>
        <v>0</v>
      </c>
      <c r="AB29" s="121">
        <f>IF($J29=0,0,AC29/($J29))</f>
        <v>0</v>
      </c>
      <c r="AC29" s="146">
        <f>IF(SUM(AC$6:AC$21)+(SUM(AC$31:AC$51,-AC$57)/AC$70)&lt;1,IF(SUM(AC$6:AC$21)+((SUM(AC$31:AC$51,$J$29:$J$30,-AC$57)-SUM($AA$29:$AA$30))/AC$70)&lt;1,$J29-$AA29,(AC$70-(SUM(AC$6:AC$21)*AC$70)-SUM(AC$31:AC$51,-AC$57))*($J29/SUM($J$29:$J$30))),0)</f>
        <v>0</v>
      </c>
      <c r="AD29" s="121">
        <f>IF($J29=0,0,AE29/($J29))</f>
        <v>0</v>
      </c>
      <c r="AE29" s="146">
        <f>IF(SUM(AE$6:AE$21)+(SUM(AE$31:AE$51,-AE$57)/AE$70)&lt;1,IF(SUM(AE$6:AE$21)+((SUM(AE$31:AE$51,$J$29:$J$30,-AE$57)-SUM($AA$29:$AA$30)-SUM($AC$29:$AC$30))/AE$70)&lt;1,$J29-$AA29-$AC29,(AE$70-(SUM(AE$6:AE$21)*AE$70)-SUM(AE$31:AE$51,-AE$57))*($J29/SUM($J$29:$J$30))),0)</f>
        <v>0</v>
      </c>
      <c r="AF29" s="121">
        <f t="shared" ref="AF29:AF51" si="24">1-SUM(Z29,AB29,AD29)</f>
        <v>1</v>
      </c>
      <c r="AG29" s="146">
        <f>$J29*AF29</f>
        <v>9990.0000000000036</v>
      </c>
      <c r="AH29" s="122">
        <f>SUM(Z29,AB29,AD29,AF29)</f>
        <v>1</v>
      </c>
      <c r="AI29" s="111">
        <f>SUM(AA29,AC29,AE29,AG29)</f>
        <v>9990.0000000000036</v>
      </c>
      <c r="AJ29" s="147">
        <f>(AA29+AC29)</f>
        <v>0</v>
      </c>
      <c r="AK29" s="146">
        <f>(AE29+AG29)</f>
        <v>9990.0000000000036</v>
      </c>
      <c r="AP29" s="25"/>
      <c r="AQ29" s="25"/>
      <c r="AR29" s="25"/>
      <c r="AS29" s="25"/>
      <c r="AT29" s="25"/>
      <c r="AU29" s="25"/>
      <c r="AW29" s="25"/>
      <c r="AX29" s="25"/>
      <c r="AY29" s="25"/>
      <c r="AZ29" s="25"/>
      <c r="BA29" s="25"/>
      <c r="BB29" s="25"/>
      <c r="BF29" s="25"/>
      <c r="BG29" s="25"/>
      <c r="BH29" s="25"/>
      <c r="BI29" s="25"/>
      <c r="BJ29" s="25"/>
      <c r="BK29" s="25"/>
      <c r="BM29" s="25"/>
      <c r="BN29" s="25"/>
      <c r="BO29" s="25"/>
      <c r="BP29" s="25"/>
      <c r="BQ29" s="25"/>
      <c r="BR29" s="25"/>
      <c r="BU29" s="25"/>
      <c r="BV29" s="25"/>
      <c r="BW29" s="25"/>
      <c r="BX29" s="25"/>
      <c r="BY29" s="25"/>
      <c r="BZ29" s="25"/>
      <c r="CB29" s="25"/>
      <c r="CC29" s="25"/>
      <c r="CD29" s="25"/>
      <c r="CE29" s="25"/>
      <c r="CF29" s="25"/>
      <c r="CG29" s="25"/>
    </row>
    <row r="30" spans="1:89" ht="14" customHeight="1">
      <c r="A30" s="74" t="str">
        <f>IF(Poor!A30=0,"",Poor!A30)</f>
        <v>Goat sales - local: no. sold</v>
      </c>
      <c r="B30" s="103">
        <f>IF([1]Summ!$H1065="",0,[1]Summ!$H1065)</f>
        <v>1600</v>
      </c>
      <c r="C30" s="103">
        <f>IF([1]Summ!$I1065="",0,[1]Summ!$I1065)</f>
        <v>400</v>
      </c>
      <c r="D30" s="38">
        <f t="shared" si="17"/>
        <v>2000</v>
      </c>
      <c r="E30" s="75">
        <f>Poor!E30</f>
        <v>1</v>
      </c>
      <c r="F30" s="75">
        <f>Poor!F30</f>
        <v>1.0900000000000001</v>
      </c>
      <c r="G30" s="22">
        <f t="shared" ref="G30:G51" si="25">(G$29)</f>
        <v>1.1200000000000001</v>
      </c>
      <c r="H30" s="24">
        <f t="shared" si="18"/>
        <v>1.0900000000000001</v>
      </c>
      <c r="I30" s="39">
        <f t="shared" si="19"/>
        <v>2180</v>
      </c>
      <c r="J30" s="38">
        <f t="shared" si="20"/>
        <v>1730.3891118725701</v>
      </c>
      <c r="K30" s="40">
        <f t="shared" si="21"/>
        <v>1.1755810949495045E-2</v>
      </c>
      <c r="L30" s="22">
        <f t="shared" si="22"/>
        <v>1.2813833934949601E-2</v>
      </c>
      <c r="M30" s="24">
        <f t="shared" si="23"/>
        <v>1.2713829542649104E-2</v>
      </c>
      <c r="N30" s="2"/>
      <c r="O30" s="2"/>
      <c r="P30" s="2"/>
      <c r="Q30" s="59"/>
      <c r="R30" s="180"/>
      <c r="S30" s="180"/>
      <c r="T30" s="180"/>
      <c r="U30" s="56"/>
      <c r="V30" s="56"/>
      <c r="W30" s="114"/>
      <c r="X30" s="117"/>
      <c r="Y30" s="109"/>
      <c r="Z30" s="121">
        <f>IF($J30=0,0,AA30/($J30))</f>
        <v>0</v>
      </c>
      <c r="AA30" s="146">
        <f>IF(SUM(AA$6:AA$21)+(SUM(AA$31:AA$51,-AA$57)/AA$70)&lt;1,IF(SUM(AA$6:AA$21)+(SUM(AA$31:AA$51,$J$29:$J$30,-AA$57)/AA$70)&lt;1,$J30,(AA$70-(SUM(AA$6:AA$21)*AA$70)-SUM(AA$31:AA$51,-AA$57))*($J30/SUM($J$29:$J$30))),0)</f>
        <v>0</v>
      </c>
      <c r="AB30" s="121">
        <f>IF($J30=0,0,AC30/($J30))</f>
        <v>0</v>
      </c>
      <c r="AC30" s="146">
        <f>IF(SUM(AC$6:AC$21)+(SUM(AC$31:AC$51,-AC$57)/AC$70)&lt;1,IF(SUM(AC$6:AC$21)+((SUM(AC$31:AC$51,$J$29:$J$30,-AC$57)-SUM($AA$29:$AA$30))/AC$70)&lt;1,$J30-$AA30,(AC$70-(SUM(AC$6:AC$21)*AC$70)-SUM(AC$31:AC$51,-AC$57))*($J30/SUM($J$29:$J$30))),0)</f>
        <v>0</v>
      </c>
      <c r="AD30" s="121">
        <f>IF($J30=0,0,AE30/($J30))</f>
        <v>0</v>
      </c>
      <c r="AE30" s="146">
        <f>IF(SUM(AE$6:AE$21)+(SUM(AE$31:AE$51,-AE$57)/AE$70)&lt;1,IF(SUM(AE$6:AE$21)+((SUM(AE$31:AE$51,$J$29:$J$30,-AE$57)-SUM($AA$29:$AA$30)-SUM($AC$29:$AC$30))/AE$70)&lt;1,$J30-$AA30-$AC30,(AE$70-(SUM(AE$6:AE$21)*AE$70)-SUM(AE$31:AE$51,-AE$57))*($J30/SUM($J$29:$J$30))),0)</f>
        <v>0</v>
      </c>
      <c r="AF30" s="121">
        <f t="shared" si="24"/>
        <v>1</v>
      </c>
      <c r="AG30" s="146">
        <f t="shared" ref="AG30:AG51" si="26">$J30*AF30</f>
        <v>1730.3891118725701</v>
      </c>
      <c r="AH30" s="122">
        <f t="shared" ref="AH30:AI45" si="27">SUM(Z30,AB30,AD30,AF30)</f>
        <v>1</v>
      </c>
      <c r="AI30" s="111">
        <f t="shared" si="27"/>
        <v>1730.3891118725701</v>
      </c>
      <c r="AJ30" s="147">
        <f t="shared" ref="AJ30:AJ51" si="28">(AA30+AC30)</f>
        <v>0</v>
      </c>
      <c r="AK30" s="146">
        <f t="shared" ref="AK30:AK51" si="29">(AE30+AG30)</f>
        <v>1730.3891118725701</v>
      </c>
      <c r="AP30" s="25"/>
      <c r="AQ30" s="25"/>
      <c r="AR30" s="25"/>
      <c r="AS30" s="25"/>
      <c r="AT30" s="25"/>
      <c r="AU30" s="25"/>
      <c r="AW30" s="25"/>
      <c r="AX30" s="25"/>
      <c r="AY30" s="25"/>
      <c r="AZ30" s="25"/>
      <c r="BA30" s="25"/>
      <c r="BB30" s="25"/>
      <c r="BF30" s="25"/>
      <c r="BG30" s="25"/>
      <c r="BH30" s="25"/>
      <c r="BI30" s="25"/>
      <c r="BJ30" s="25"/>
      <c r="BK30" s="25"/>
      <c r="BM30" s="25"/>
      <c r="BN30" s="25"/>
      <c r="BO30" s="25"/>
      <c r="BP30" s="25"/>
      <c r="BQ30" s="25"/>
      <c r="BR30" s="25"/>
      <c r="BU30" s="25"/>
      <c r="BV30" s="25"/>
      <c r="BW30" s="25"/>
      <c r="BX30" s="25"/>
      <c r="BY30" s="25"/>
      <c r="BZ30" s="25"/>
      <c r="CB30" s="25"/>
      <c r="CC30" s="25"/>
      <c r="CD30" s="25"/>
      <c r="CE30" s="25"/>
      <c r="CF30" s="25"/>
      <c r="CG30" s="25"/>
    </row>
    <row r="31" spans="1:89" ht="14" customHeight="1">
      <c r="A31" s="74" t="str">
        <f>IF(Poor!A31=0,"",Poor!A31)</f>
        <v>Sheep sales - local: no. sold</v>
      </c>
      <c r="B31" s="103">
        <f>IF([1]Summ!$H1066="",0,[1]Summ!$H1066)</f>
        <v>0</v>
      </c>
      <c r="C31" s="103">
        <f>IF([1]Summ!$I1066="",0,[1]Summ!$I1066)</f>
        <v>0</v>
      </c>
      <c r="D31" s="38">
        <f t="shared" si="17"/>
        <v>0</v>
      </c>
      <c r="E31" s="75">
        <f>Poor!E31</f>
        <v>1</v>
      </c>
      <c r="F31" s="75">
        <f>Poor!F31</f>
        <v>1.0900000000000001</v>
      </c>
      <c r="G31" s="22">
        <f t="shared" si="25"/>
        <v>1.1200000000000001</v>
      </c>
      <c r="H31" s="24">
        <f t="shared" si="18"/>
        <v>1.0900000000000001</v>
      </c>
      <c r="I31" s="39">
        <f t="shared" si="19"/>
        <v>0</v>
      </c>
      <c r="J31" s="38">
        <f t="shared" si="20"/>
        <v>0</v>
      </c>
      <c r="K31" s="40">
        <f t="shared" si="21"/>
        <v>0</v>
      </c>
      <c r="L31" s="22">
        <f t="shared" si="22"/>
        <v>0</v>
      </c>
      <c r="M31" s="24">
        <f t="shared" si="23"/>
        <v>0</v>
      </c>
      <c r="N31" s="2"/>
      <c r="O31" s="2"/>
      <c r="P31" s="2"/>
      <c r="Q31" s="2"/>
      <c r="R31" s="180"/>
      <c r="S31" s="180"/>
      <c r="T31" s="180"/>
      <c r="U31" s="56"/>
      <c r="V31" s="56"/>
      <c r="W31" s="114"/>
      <c r="X31" s="195">
        <f>X8</f>
        <v>1</v>
      </c>
      <c r="Y31" s="109"/>
      <c r="Z31" s="121">
        <f>Z8</f>
        <v>0.38402814657960999</v>
      </c>
      <c r="AA31" s="146">
        <f t="shared" ref="AA31:AA51" si="30">$J31*Z31</f>
        <v>0</v>
      </c>
      <c r="AB31" s="121">
        <f>AB8</f>
        <v>0.45692231892092228</v>
      </c>
      <c r="AC31" s="146">
        <f t="shared" ref="AC31:AC51" si="31">$J31*AB31</f>
        <v>0</v>
      </c>
      <c r="AD31" s="121">
        <f>AD8</f>
        <v>0.15904953449946777</v>
      </c>
      <c r="AE31" s="146">
        <f t="shared" ref="AE31:AE51" si="32">$J31*AD31</f>
        <v>0</v>
      </c>
      <c r="AF31" s="121">
        <f t="shared" si="24"/>
        <v>0</v>
      </c>
      <c r="AG31" s="146">
        <f t="shared" si="26"/>
        <v>0</v>
      </c>
      <c r="AH31" s="122">
        <f t="shared" si="27"/>
        <v>1</v>
      </c>
      <c r="AI31" s="111">
        <f t="shared" si="27"/>
        <v>0</v>
      </c>
      <c r="AJ31" s="147">
        <f t="shared" si="28"/>
        <v>0</v>
      </c>
      <c r="AK31" s="146">
        <f t="shared" si="29"/>
        <v>0</v>
      </c>
      <c r="AP31" s="25"/>
      <c r="AQ31" s="25"/>
      <c r="AR31" s="25"/>
      <c r="AS31" s="25"/>
      <c r="AT31" s="25"/>
      <c r="AU31" s="25"/>
      <c r="AW31" s="25"/>
      <c r="AX31" s="25"/>
      <c r="AY31" s="25"/>
      <c r="AZ31" s="25"/>
      <c r="BA31" s="25"/>
      <c r="BB31" s="25"/>
      <c r="BF31" s="25"/>
      <c r="BG31" s="25"/>
      <c r="BH31" s="25"/>
      <c r="BI31" s="25"/>
      <c r="BJ31" s="25"/>
      <c r="BK31" s="25"/>
      <c r="BM31" s="25"/>
      <c r="BN31" s="25"/>
      <c r="BO31" s="25"/>
      <c r="BP31" s="25"/>
      <c r="BQ31" s="25"/>
      <c r="BR31" s="25"/>
      <c r="BU31" s="25"/>
      <c r="BV31" s="25"/>
      <c r="BW31" s="25"/>
      <c r="BX31" s="25"/>
      <c r="BY31" s="25"/>
      <c r="BZ31" s="25"/>
      <c r="CB31" s="25"/>
      <c r="CC31" s="25"/>
      <c r="CD31" s="25"/>
      <c r="CE31" s="25"/>
      <c r="CF31" s="25"/>
      <c r="CG31" s="25"/>
    </row>
    <row r="32" spans="1:89" ht="14" customHeight="1">
      <c r="A32" s="74" t="str">
        <f>IF(Poor!A32=0,"",Poor!A32)</f>
        <v>Maize: kg produced</v>
      </c>
      <c r="B32" s="103">
        <f>IF([1]Summ!$H1067="",0,[1]Summ!$H1067)</f>
        <v>0</v>
      </c>
      <c r="C32" s="103">
        <f>IF([1]Summ!$I1067="",0,[1]Summ!$I1067)</f>
        <v>0</v>
      </c>
      <c r="D32" s="38">
        <f t="shared" si="17"/>
        <v>0</v>
      </c>
      <c r="E32" s="75">
        <f>Poor!E32</f>
        <v>1</v>
      </c>
      <c r="F32" s="75">
        <f>Poor!F32</f>
        <v>1.02</v>
      </c>
      <c r="G32" s="22">
        <f t="shared" si="25"/>
        <v>1.1200000000000001</v>
      </c>
      <c r="H32" s="24">
        <f t="shared" si="18"/>
        <v>1.02</v>
      </c>
      <c r="I32" s="39">
        <f t="shared" si="19"/>
        <v>0</v>
      </c>
      <c r="J32" s="38">
        <f t="shared" si="20"/>
        <v>0</v>
      </c>
      <c r="K32" s="40">
        <f t="shared" si="21"/>
        <v>0</v>
      </c>
      <c r="L32" s="22">
        <f t="shared" si="22"/>
        <v>0</v>
      </c>
      <c r="M32" s="24">
        <f t="shared" si="23"/>
        <v>0</v>
      </c>
      <c r="N32" s="2"/>
      <c r="O32" s="2"/>
      <c r="P32" s="2"/>
      <c r="Q32" s="59" t="s">
        <v>143</v>
      </c>
      <c r="R32" s="249">
        <f>$B$57+((1-$D$21)*$B$70)</f>
        <v>19249.362863939343</v>
      </c>
      <c r="S32" s="249">
        <f>($B$57*$H$57)+((1-($D$21*$H$21))*$I$70)</f>
        <v>21863.869686861162</v>
      </c>
      <c r="T32" s="249">
        <f>($B$57*$H$57)+((1-($D$21*$H$21))*$I$70)</f>
        <v>21863.869686861162</v>
      </c>
      <c r="U32" s="56"/>
      <c r="V32" s="56"/>
      <c r="W32" s="114"/>
      <c r="X32" s="195">
        <f>X9</f>
        <v>1</v>
      </c>
      <c r="Y32" s="109"/>
      <c r="Z32" s="121">
        <f>Z9</f>
        <v>0.38402814657961004</v>
      </c>
      <c r="AA32" s="146">
        <f t="shared" si="30"/>
        <v>0</v>
      </c>
      <c r="AB32" s="121">
        <f>AB9</f>
        <v>0.45692231892092228</v>
      </c>
      <c r="AC32" s="146">
        <f t="shared" si="31"/>
        <v>0</v>
      </c>
      <c r="AD32" s="121">
        <f>AD9</f>
        <v>0.15904953449946765</v>
      </c>
      <c r="AE32" s="146">
        <f t="shared" si="32"/>
        <v>0</v>
      </c>
      <c r="AF32" s="121">
        <f t="shared" si="24"/>
        <v>0</v>
      </c>
      <c r="AG32" s="146">
        <f t="shared" si="26"/>
        <v>0</v>
      </c>
      <c r="AH32" s="122">
        <f t="shared" si="27"/>
        <v>1</v>
      </c>
      <c r="AI32" s="111">
        <f t="shared" si="27"/>
        <v>0</v>
      </c>
      <c r="AJ32" s="147">
        <f t="shared" si="28"/>
        <v>0</v>
      </c>
      <c r="AK32" s="146">
        <f t="shared" si="29"/>
        <v>0</v>
      </c>
      <c r="AP32" s="25"/>
      <c r="AQ32" s="25"/>
      <c r="AR32" s="25"/>
      <c r="AS32" s="25"/>
      <c r="AT32" s="25"/>
      <c r="AU32" s="25"/>
      <c r="AW32" s="25"/>
      <c r="AX32" s="25"/>
      <c r="AY32" s="25"/>
      <c r="AZ32" s="25"/>
      <c r="BA32" s="25"/>
      <c r="BB32" s="25"/>
      <c r="BF32" s="25"/>
      <c r="BG32" s="25"/>
      <c r="BH32" s="25"/>
      <c r="BI32" s="25"/>
      <c r="BJ32" s="25"/>
      <c r="BK32" s="25"/>
      <c r="BM32" s="25"/>
      <c r="BN32" s="25"/>
      <c r="BO32" s="25"/>
      <c r="BP32" s="25"/>
      <c r="BQ32" s="25"/>
      <c r="BR32" s="25"/>
      <c r="BU32" s="25"/>
      <c r="BV32" s="25"/>
      <c r="BW32" s="25"/>
      <c r="BX32" s="25"/>
      <c r="BY32" s="25"/>
      <c r="BZ32" s="25"/>
      <c r="CB32" s="25"/>
      <c r="CC32" s="25"/>
      <c r="CD32" s="25"/>
      <c r="CE32" s="25"/>
      <c r="CF32" s="25"/>
      <c r="CG32" s="25"/>
    </row>
    <row r="33" spans="1:85" ht="14" customHeight="1">
      <c r="A33" s="74" t="str">
        <f>IF(Poor!A33=0,"",Poor!A33)</f>
        <v>WILD FOODS -- see worksheet Data 3</v>
      </c>
      <c r="B33" s="103">
        <f>IF([1]Summ!$H1068="",0,[1]Summ!$H1068)</f>
        <v>0</v>
      </c>
      <c r="C33" s="103">
        <f>IF([1]Summ!$I1068="",0,[1]Summ!$I1068)</f>
        <v>0</v>
      </c>
      <c r="D33" s="38">
        <f t="shared" si="17"/>
        <v>0</v>
      </c>
      <c r="E33" s="75">
        <f>Poor!E33</f>
        <v>0.8</v>
      </c>
      <c r="F33" s="75">
        <f>Poor!F33</f>
        <v>1</v>
      </c>
      <c r="G33" s="22">
        <f t="shared" si="25"/>
        <v>1.1200000000000001</v>
      </c>
      <c r="H33" s="24">
        <f t="shared" si="18"/>
        <v>0.8</v>
      </c>
      <c r="I33" s="39">
        <f t="shared" si="19"/>
        <v>0</v>
      </c>
      <c r="J33" s="38">
        <f t="shared" si="20"/>
        <v>0</v>
      </c>
      <c r="K33" s="40">
        <f t="shared" si="21"/>
        <v>0</v>
      </c>
      <c r="L33" s="22">
        <f t="shared" si="22"/>
        <v>0</v>
      </c>
      <c r="M33" s="24">
        <f t="shared" si="23"/>
        <v>0</v>
      </c>
      <c r="N33" s="2"/>
      <c r="O33" s="2"/>
      <c r="P33" s="2"/>
      <c r="Q33" s="59" t="s">
        <v>144</v>
      </c>
      <c r="R33" s="249">
        <f>$B$57+$B$58+((1-$D$21)*$B$70)</f>
        <v>30933.362863939343</v>
      </c>
      <c r="S33" s="41">
        <f>(($B$57*$H$57)+($B$58*$H$58)+((1-($D$21*$H$21))*$I$70))</f>
        <v>34833.109686861164</v>
      </c>
      <c r="T33" s="41">
        <f>(($B$57*$H$57)+($B$58*$H$58)+((1-($D$21*$H$21))*$I$70))</f>
        <v>34833.109686861164</v>
      </c>
      <c r="U33" s="56"/>
      <c r="V33" s="56"/>
      <c r="W33" s="114"/>
      <c r="X33" s="195">
        <f>X11</f>
        <v>1</v>
      </c>
      <c r="Y33" s="109"/>
      <c r="Z33" s="121">
        <f>Z11</f>
        <v>0.3840281465796101</v>
      </c>
      <c r="AA33" s="146">
        <f t="shared" si="30"/>
        <v>0</v>
      </c>
      <c r="AB33" s="121">
        <f>AB11</f>
        <v>0.45692231892092233</v>
      </c>
      <c r="AC33" s="146">
        <f t="shared" si="31"/>
        <v>0</v>
      </c>
      <c r="AD33" s="121">
        <f>AD11</f>
        <v>0.15904953449946765</v>
      </c>
      <c r="AE33" s="146">
        <f t="shared" si="32"/>
        <v>0</v>
      </c>
      <c r="AF33" s="121">
        <f t="shared" si="24"/>
        <v>0</v>
      </c>
      <c r="AG33" s="146">
        <f t="shared" si="26"/>
        <v>0</v>
      </c>
      <c r="AH33" s="122">
        <f t="shared" si="27"/>
        <v>1</v>
      </c>
      <c r="AI33" s="111">
        <f t="shared" si="27"/>
        <v>0</v>
      </c>
      <c r="AJ33" s="147">
        <f t="shared" si="28"/>
        <v>0</v>
      </c>
      <c r="AK33" s="146">
        <f t="shared" si="29"/>
        <v>0</v>
      </c>
      <c r="AP33" s="25"/>
      <c r="AQ33" s="25"/>
      <c r="AR33" s="25"/>
      <c r="AS33" s="25"/>
      <c r="AT33" s="25"/>
      <c r="AU33" s="25"/>
      <c r="AW33" s="25"/>
      <c r="AX33" s="25"/>
      <c r="AY33" s="25"/>
      <c r="AZ33" s="25"/>
      <c r="BA33" s="25"/>
      <c r="BB33" s="25"/>
      <c r="BF33" s="25"/>
      <c r="BG33" s="25"/>
      <c r="BH33" s="25"/>
      <c r="BI33" s="25"/>
      <c r="BJ33" s="25"/>
      <c r="BK33" s="25"/>
      <c r="BM33" s="25"/>
      <c r="BN33" s="25"/>
      <c r="BO33" s="25"/>
      <c r="BP33" s="25"/>
      <c r="BQ33" s="25"/>
      <c r="BR33" s="25"/>
      <c r="BU33" s="25"/>
      <c r="BV33" s="25"/>
      <c r="BW33" s="25"/>
      <c r="BX33" s="25"/>
      <c r="BY33" s="25"/>
      <c r="BZ33" s="25"/>
      <c r="CB33" s="25"/>
      <c r="CC33" s="25"/>
      <c r="CD33" s="25"/>
      <c r="CE33" s="25"/>
      <c r="CF33" s="25"/>
      <c r="CG33" s="25"/>
    </row>
    <row r="34" spans="1:85" ht="14" customHeight="1">
      <c r="A34" s="74" t="str">
        <f>IF(Poor!A34=0,"",Poor!A34)</f>
        <v>Agricultural cash income -- see Data2</v>
      </c>
      <c r="B34" s="103">
        <f>IF([1]Summ!$H1069="",0,[1]Summ!$H1069)</f>
        <v>750</v>
      </c>
      <c r="C34" s="103">
        <f>IF([1]Summ!$I1069="",0,[1]Summ!$I1069)</f>
        <v>0</v>
      </c>
      <c r="D34" s="38">
        <f t="shared" si="17"/>
        <v>750</v>
      </c>
      <c r="E34" s="75">
        <f>Poor!E34</f>
        <v>0.87</v>
      </c>
      <c r="F34" s="75">
        <f>Poor!F34</f>
        <v>1.1100000000000001</v>
      </c>
      <c r="G34" s="22">
        <f t="shared" si="25"/>
        <v>1.1200000000000001</v>
      </c>
      <c r="H34" s="24">
        <f t="shared" si="18"/>
        <v>0.96570000000000011</v>
      </c>
      <c r="I34" s="39">
        <f t="shared" si="19"/>
        <v>724.27500000000009</v>
      </c>
      <c r="J34" s="38">
        <f t="shared" si="20"/>
        <v>724.27500000000009</v>
      </c>
      <c r="K34" s="40">
        <f t="shared" si="21"/>
        <v>5.5105363825758025E-3</v>
      </c>
      <c r="L34" s="22">
        <f t="shared" si="22"/>
        <v>5.3215249846534527E-3</v>
      </c>
      <c r="M34" s="24">
        <f t="shared" si="23"/>
        <v>5.3215249846534527E-3</v>
      </c>
      <c r="N34" s="2"/>
      <c r="O34" s="2"/>
      <c r="P34" s="2"/>
      <c r="Q34" s="59" t="s">
        <v>145</v>
      </c>
      <c r="R34" s="249">
        <f>$B$57+$B$58+$B$59+((1-$D$21)*$B$70)</f>
        <v>51741.362863939343</v>
      </c>
      <c r="S34" s="41">
        <f>(($B$57*$H$57)+($B$58*$H$58)+($B$59*$H$59)+((1-($D$21*$H$21))*$I$70))</f>
        <v>57929.989686861169</v>
      </c>
      <c r="T34" s="41">
        <f>(($B$57*$H$57)+($B$58*$H$58)+($B$59*$H$59)+((1-($D$21*$H$21))*$I$70))</f>
        <v>57929.989686861169</v>
      </c>
      <c r="U34" s="56"/>
      <c r="V34" s="56"/>
      <c r="W34" s="114"/>
      <c r="X34" s="117"/>
      <c r="Y34" s="109"/>
      <c r="Z34" s="155">
        <f>Poor!Z34</f>
        <v>0.25</v>
      </c>
      <c r="AA34" s="146">
        <f t="shared" si="30"/>
        <v>181.06875000000002</v>
      </c>
      <c r="AB34" s="155">
        <f>Poor!AB34</f>
        <v>0</v>
      </c>
      <c r="AC34" s="146">
        <f t="shared" si="31"/>
        <v>0</v>
      </c>
      <c r="AD34" s="155">
        <f>Poor!AD34</f>
        <v>0.5</v>
      </c>
      <c r="AE34" s="146">
        <f t="shared" si="32"/>
        <v>362.13750000000005</v>
      </c>
      <c r="AF34" s="121">
        <f t="shared" si="24"/>
        <v>0.25</v>
      </c>
      <c r="AG34" s="146">
        <f t="shared" si="26"/>
        <v>181.06875000000002</v>
      </c>
      <c r="AH34" s="122">
        <f t="shared" si="27"/>
        <v>1</v>
      </c>
      <c r="AI34" s="111">
        <f t="shared" si="27"/>
        <v>724.27500000000009</v>
      </c>
      <c r="AJ34" s="147">
        <f t="shared" si="28"/>
        <v>181.06875000000002</v>
      </c>
      <c r="AK34" s="146">
        <f t="shared" si="29"/>
        <v>543.20625000000007</v>
      </c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5" ht="14" customHeight="1">
      <c r="A35" s="74" t="str">
        <f>IF(Poor!A35=0,"",Poor!A35)</f>
        <v>Domestic work cash income -- see Data2</v>
      </c>
      <c r="B35" s="103">
        <f>IF([1]Summ!$H1070="",0,[1]Summ!$H1070)</f>
        <v>0</v>
      </c>
      <c r="C35" s="103">
        <f>IF([1]Summ!$I1070="",0,[1]Summ!$I1070)</f>
        <v>0</v>
      </c>
      <c r="D35" s="38">
        <f t="shared" si="17"/>
        <v>0</v>
      </c>
      <c r="E35" s="75">
        <f>Poor!E35</f>
        <v>1</v>
      </c>
      <c r="F35" s="75">
        <f>Poor!F35</f>
        <v>1.1000000000000001</v>
      </c>
      <c r="G35" s="22">
        <f t="shared" si="25"/>
        <v>1.1200000000000001</v>
      </c>
      <c r="H35" s="24">
        <f t="shared" si="18"/>
        <v>1.1000000000000001</v>
      </c>
      <c r="I35" s="39">
        <f t="shared" si="19"/>
        <v>0</v>
      </c>
      <c r="J35" s="38">
        <f t="shared" si="20"/>
        <v>0</v>
      </c>
      <c r="K35" s="40">
        <f t="shared" si="21"/>
        <v>0</v>
      </c>
      <c r="L35" s="22">
        <f t="shared" si="22"/>
        <v>0</v>
      </c>
      <c r="M35" s="24">
        <f t="shared" si="23"/>
        <v>0</v>
      </c>
      <c r="N35" s="2"/>
      <c r="O35" s="2"/>
      <c r="P35" s="2"/>
      <c r="Q35" s="59" t="s">
        <v>146</v>
      </c>
      <c r="R35" s="249">
        <f>$B$57+$B$58+$B$59+$B$60+((1-$D$20-$D$21)*$B$70)</f>
        <v>75001.362863939343</v>
      </c>
      <c r="S35" s="41">
        <f>(($B$57*$H$57)+($B$58*$H$58)+($B$59*$H$59)+($B$60*$H$60)+((1-($D$20*$H$20)-($D$21*$H$21))*$I$70))</f>
        <v>83748.58968686116</v>
      </c>
      <c r="T35" s="41">
        <f>(($B$57*$H$57)+($B$58*$H$58)+($B$59*$H$59)+($B$60*$H$60)+((1-($D$20*$H$20)-($D$21*$H$21))*$I$70))</f>
        <v>83748.58968686116</v>
      </c>
      <c r="U35" s="56"/>
      <c r="V35" s="56"/>
      <c r="W35" s="114"/>
      <c r="X35" s="117"/>
      <c r="Y35" s="109"/>
      <c r="Z35" s="155">
        <f>Poor!Z35</f>
        <v>0.25</v>
      </c>
      <c r="AA35" s="146">
        <f t="shared" si="30"/>
        <v>0</v>
      </c>
      <c r="AB35" s="155">
        <f>Poor!AB35</f>
        <v>0.25</v>
      </c>
      <c r="AC35" s="146">
        <f t="shared" si="31"/>
        <v>0</v>
      </c>
      <c r="AD35" s="155">
        <f>Poor!AD35</f>
        <v>0.25</v>
      </c>
      <c r="AE35" s="146">
        <f t="shared" si="32"/>
        <v>0</v>
      </c>
      <c r="AF35" s="121">
        <f t="shared" si="24"/>
        <v>0.25</v>
      </c>
      <c r="AG35" s="146">
        <f t="shared" si="26"/>
        <v>0</v>
      </c>
      <c r="AH35" s="122">
        <f t="shared" si="27"/>
        <v>1</v>
      </c>
      <c r="AI35" s="111">
        <f t="shared" si="27"/>
        <v>0</v>
      </c>
      <c r="AJ35" s="147">
        <f t="shared" si="28"/>
        <v>0</v>
      </c>
      <c r="AK35" s="146">
        <f t="shared" si="29"/>
        <v>0</v>
      </c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5" ht="14" customHeight="1">
      <c r="A36" s="74" t="str">
        <f>IF(Poor!A36=0,"",Poor!A36)</f>
        <v>Formal Employment (conservancies, etc.)</v>
      </c>
      <c r="B36" s="103">
        <f>IF([1]Summ!$H1071="",0,[1]Summ!$H1071)</f>
        <v>79800</v>
      </c>
      <c r="C36" s="103">
        <f>IF([1]Summ!$I1071="",0,[1]Summ!$I1071)</f>
        <v>0</v>
      </c>
      <c r="D36" s="38">
        <f t="shared" si="17"/>
        <v>79800</v>
      </c>
      <c r="E36" s="75">
        <f>Poor!E36</f>
        <v>1</v>
      </c>
      <c r="F36" s="75">
        <f>Poor!F36</f>
        <v>1.07</v>
      </c>
      <c r="G36" s="22">
        <f t="shared" si="25"/>
        <v>1.1200000000000001</v>
      </c>
      <c r="H36" s="24">
        <f t="shared" si="18"/>
        <v>1.07</v>
      </c>
      <c r="I36" s="39">
        <f t="shared" si="19"/>
        <v>85386</v>
      </c>
      <c r="J36" s="38">
        <f t="shared" si="20"/>
        <v>85386</v>
      </c>
      <c r="K36" s="40">
        <f t="shared" si="21"/>
        <v>0.58632107110606535</v>
      </c>
      <c r="L36" s="22">
        <f t="shared" si="22"/>
        <v>0.62736354608348999</v>
      </c>
      <c r="M36" s="24">
        <f t="shared" si="23"/>
        <v>0.62736354608348999</v>
      </c>
      <c r="N36" s="2"/>
      <c r="O36" s="2"/>
      <c r="P36" s="2"/>
      <c r="Q36" s="59"/>
      <c r="R36" s="219"/>
      <c r="S36" s="219"/>
      <c r="T36" s="219"/>
      <c r="U36" s="56"/>
      <c r="V36" s="56"/>
      <c r="W36" s="116"/>
      <c r="X36" s="117"/>
      <c r="Y36" s="109"/>
      <c r="Z36" s="155">
        <f>Poor!Z36</f>
        <v>0.25</v>
      </c>
      <c r="AA36" s="146">
        <f t="shared" si="30"/>
        <v>21346.5</v>
      </c>
      <c r="AB36" s="155">
        <f>Poor!AB36</f>
        <v>0.25</v>
      </c>
      <c r="AC36" s="146">
        <f t="shared" si="31"/>
        <v>21346.5</v>
      </c>
      <c r="AD36" s="155">
        <f>Poor!AD36</f>
        <v>0.25</v>
      </c>
      <c r="AE36" s="146">
        <f t="shared" si="32"/>
        <v>21346.5</v>
      </c>
      <c r="AF36" s="121">
        <f t="shared" si="24"/>
        <v>0.25</v>
      </c>
      <c r="AG36" s="146">
        <f t="shared" si="26"/>
        <v>21346.5</v>
      </c>
      <c r="AH36" s="122">
        <f t="shared" si="27"/>
        <v>1</v>
      </c>
      <c r="AI36" s="111">
        <f t="shared" si="27"/>
        <v>85386</v>
      </c>
      <c r="AJ36" s="147">
        <f t="shared" si="28"/>
        <v>42693</v>
      </c>
      <c r="AK36" s="146">
        <f t="shared" si="29"/>
        <v>42693</v>
      </c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5" ht="14" customHeight="1">
      <c r="A37" s="74" t="str">
        <f>IF(Poor!A37=0,"",Poor!A37)</f>
        <v>Self-employment -- see Data2</v>
      </c>
      <c r="B37" s="103">
        <f>IF([1]Summ!$H1072="",0,[1]Summ!$H1072)</f>
        <v>30520</v>
      </c>
      <c r="C37" s="103">
        <f>IF([1]Summ!$I1072="",0,[1]Summ!$I1072)</f>
        <v>6104</v>
      </c>
      <c r="D37" s="38">
        <f t="shared" si="17"/>
        <v>36624</v>
      </c>
      <c r="E37" s="75">
        <f>Poor!E37</f>
        <v>1</v>
      </c>
      <c r="F37" s="75">
        <f>Poor!F37</f>
        <v>1.1000000000000001</v>
      </c>
      <c r="G37" s="22">
        <f t="shared" si="25"/>
        <v>1.1200000000000001</v>
      </c>
      <c r="H37" s="24">
        <f t="shared" si="18"/>
        <v>1.1000000000000001</v>
      </c>
      <c r="I37" s="39">
        <f t="shared" si="19"/>
        <v>40286.400000000001</v>
      </c>
      <c r="J37" s="38">
        <f t="shared" si="20"/>
        <v>33362.392322837586</v>
      </c>
      <c r="K37" s="40">
        <f t="shared" si="21"/>
        <v>0.22424209386161797</v>
      </c>
      <c r="L37" s="22">
        <f t="shared" si="22"/>
        <v>0.2466663032477798</v>
      </c>
      <c r="M37" s="24">
        <f t="shared" si="23"/>
        <v>0.24512623560635219</v>
      </c>
      <c r="N37" s="2"/>
      <c r="O37" s="2"/>
      <c r="P37" s="2"/>
      <c r="Q37" s="56"/>
      <c r="R37" s="56"/>
      <c r="S37" s="56"/>
      <c r="T37" s="56"/>
      <c r="U37" s="56"/>
      <c r="V37" s="56"/>
      <c r="W37" s="109"/>
      <c r="X37" s="117"/>
      <c r="Y37" s="109"/>
      <c r="Z37" s="155">
        <f>Poor!Z37</f>
        <v>0.25</v>
      </c>
      <c r="AA37" s="146">
        <f t="shared" si="30"/>
        <v>8340.5980807093965</v>
      </c>
      <c r="AB37" s="155">
        <f>Poor!AB37</f>
        <v>0.25</v>
      </c>
      <c r="AC37" s="146">
        <f t="shared" si="31"/>
        <v>8340.5980807093965</v>
      </c>
      <c r="AD37" s="155">
        <f>Poor!AD37</f>
        <v>0.25</v>
      </c>
      <c r="AE37" s="146">
        <f t="shared" si="32"/>
        <v>8340.5980807093965</v>
      </c>
      <c r="AF37" s="121">
        <f t="shared" si="24"/>
        <v>0.25</v>
      </c>
      <c r="AG37" s="146">
        <f t="shared" si="26"/>
        <v>8340.5980807093965</v>
      </c>
      <c r="AH37" s="122">
        <f t="shared" si="27"/>
        <v>1</v>
      </c>
      <c r="AI37" s="111">
        <f t="shared" si="27"/>
        <v>33362.392322837586</v>
      </c>
      <c r="AJ37" s="147">
        <f t="shared" si="28"/>
        <v>16681.196161418793</v>
      </c>
      <c r="AK37" s="146">
        <f t="shared" si="29"/>
        <v>16681.196161418793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5" ht="14" customHeight="1">
      <c r="A38" s="74" t="str">
        <f>IF(Poor!A38=0,"",Poor!A38)</f>
        <v>Small business -- see Data2</v>
      </c>
      <c r="B38" s="103">
        <f>IF([1]Summ!$H1073="",0,[1]Summ!$H1073)</f>
        <v>6120</v>
      </c>
      <c r="C38" s="103">
        <f>IF([1]Summ!$I1073="",0,[1]Summ!$I1073)</f>
        <v>0</v>
      </c>
      <c r="D38" s="38">
        <f t="shared" si="17"/>
        <v>6120</v>
      </c>
      <c r="E38" s="75">
        <f>Poor!E38</f>
        <v>1</v>
      </c>
      <c r="F38" s="75">
        <f>Poor!F38</f>
        <v>1.05</v>
      </c>
      <c r="G38" s="22">
        <f t="shared" si="25"/>
        <v>1.1200000000000001</v>
      </c>
      <c r="H38" s="24">
        <f t="shared" si="18"/>
        <v>1.05</v>
      </c>
      <c r="I38" s="39">
        <f t="shared" si="19"/>
        <v>6426</v>
      </c>
      <c r="J38" s="38">
        <f t="shared" si="20"/>
        <v>6426</v>
      </c>
      <c r="K38" s="40">
        <f t="shared" si="21"/>
        <v>4.4965976881818547E-2</v>
      </c>
      <c r="L38" s="22">
        <f t="shared" si="22"/>
        <v>4.7214275725909478E-2</v>
      </c>
      <c r="M38" s="24">
        <f t="shared" si="23"/>
        <v>4.7214275725909471E-2</v>
      </c>
      <c r="N38" s="2"/>
      <c r="O38" s="2"/>
      <c r="P38" s="2"/>
      <c r="Q38" s="59"/>
      <c r="R38" s="219"/>
      <c r="S38" s="219"/>
      <c r="T38" s="219"/>
      <c r="U38" s="56"/>
      <c r="V38" s="56"/>
      <c r="W38" s="109"/>
      <c r="X38" s="117"/>
      <c r="Y38" s="109"/>
      <c r="Z38" s="155">
        <f>Poor!Z38</f>
        <v>0.25</v>
      </c>
      <c r="AA38" s="146">
        <f t="shared" si="30"/>
        <v>1606.5</v>
      </c>
      <c r="AB38" s="155">
        <f>Poor!AB38</f>
        <v>0.25</v>
      </c>
      <c r="AC38" s="146">
        <f t="shared" si="31"/>
        <v>1606.5</v>
      </c>
      <c r="AD38" s="155">
        <f>Poor!AD38</f>
        <v>0.25</v>
      </c>
      <c r="AE38" s="146">
        <f t="shared" si="32"/>
        <v>1606.5</v>
      </c>
      <c r="AF38" s="121">
        <f t="shared" si="24"/>
        <v>0.25</v>
      </c>
      <c r="AG38" s="146">
        <f t="shared" si="26"/>
        <v>1606.5</v>
      </c>
      <c r="AH38" s="122">
        <f t="shared" si="27"/>
        <v>1</v>
      </c>
      <c r="AI38" s="111">
        <f t="shared" si="27"/>
        <v>6426</v>
      </c>
      <c r="AJ38" s="147">
        <f t="shared" si="28"/>
        <v>3213</v>
      </c>
      <c r="AK38" s="146">
        <f t="shared" si="29"/>
        <v>3213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5" ht="14" customHeight="1">
      <c r="A39" s="74" t="str">
        <f>IF(Poor!A39=0,"",Poor!A39)</f>
        <v>Social Cash Transfers -- see Data2</v>
      </c>
      <c r="B39" s="103">
        <f>IF([1]Summ!$H1074="",0,[1]Summ!$H1074)</f>
        <v>8312.9032258064526</v>
      </c>
      <c r="C39" s="103">
        <f>IF([1]Summ!$I1074="",0,[1]Summ!$I1074)</f>
        <v>0</v>
      </c>
      <c r="D39" s="38">
        <f t="shared" si="17"/>
        <v>8312.9032258064526</v>
      </c>
      <c r="E39" s="75">
        <f>Poor!E39</f>
        <v>1</v>
      </c>
      <c r="F39" s="75">
        <f>Poor!F39</f>
        <v>1.1100000000000001</v>
      </c>
      <c r="G39" s="22">
        <f t="shared" si="25"/>
        <v>1.1200000000000001</v>
      </c>
      <c r="H39" s="24">
        <f t="shared" si="18"/>
        <v>1.1100000000000001</v>
      </c>
      <c r="I39" s="39">
        <f t="shared" si="19"/>
        <v>9227.3225806451628</v>
      </c>
      <c r="J39" s="38">
        <f t="shared" si="20"/>
        <v>9227.3225806451628</v>
      </c>
      <c r="K39" s="40">
        <f t="shared" si="21"/>
        <v>6.1078074227517612E-2</v>
      </c>
      <c r="L39" s="22">
        <f t="shared" si="22"/>
        <v>6.779666239254456E-2</v>
      </c>
      <c r="M39" s="24">
        <f t="shared" si="23"/>
        <v>6.7796662392544546E-2</v>
      </c>
      <c r="N39" s="2"/>
      <c r="O39" s="2"/>
      <c r="P39" s="2"/>
      <c r="Q39" s="2"/>
      <c r="R39" s="2"/>
      <c r="S39" s="2"/>
      <c r="T39" s="2"/>
      <c r="U39" s="56"/>
      <c r="V39" s="56"/>
      <c r="W39" s="109"/>
      <c r="X39" s="117"/>
      <c r="Y39" s="109"/>
      <c r="Z39" s="155">
        <f>Poor!Z39</f>
        <v>0.25</v>
      </c>
      <c r="AA39" s="146">
        <f t="shared" si="30"/>
        <v>2306.8306451612907</v>
      </c>
      <c r="AB39" s="155">
        <f>Poor!AB39</f>
        <v>0.25</v>
      </c>
      <c r="AC39" s="146">
        <f t="shared" si="31"/>
        <v>2306.8306451612907</v>
      </c>
      <c r="AD39" s="155">
        <f>Poor!AD39</f>
        <v>0.25</v>
      </c>
      <c r="AE39" s="146">
        <f t="shared" si="32"/>
        <v>2306.8306451612907</v>
      </c>
      <c r="AF39" s="121">
        <f t="shared" si="24"/>
        <v>0.25</v>
      </c>
      <c r="AG39" s="146">
        <f t="shared" si="26"/>
        <v>2306.8306451612907</v>
      </c>
      <c r="AH39" s="122">
        <f t="shared" si="27"/>
        <v>1</v>
      </c>
      <c r="AI39" s="111">
        <f t="shared" si="27"/>
        <v>9227.3225806451628</v>
      </c>
      <c r="AJ39" s="147">
        <f t="shared" si="28"/>
        <v>4613.6612903225814</v>
      </c>
      <c r="AK39" s="146">
        <f t="shared" si="29"/>
        <v>4613.6612903225814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5" ht="14" customHeight="1">
      <c r="A40" s="74" t="str">
        <f>IF(Poor!A40=0,"",Poor!A40)</f>
        <v/>
      </c>
      <c r="B40" s="103">
        <f>IF([1]Summ!$H1075="",0,[1]Summ!$H1075)</f>
        <v>0</v>
      </c>
      <c r="C40" s="103">
        <f>IF([1]Summ!$I1075="",0,[1]Summ!$I1075)</f>
        <v>0</v>
      </c>
      <c r="D40" s="38">
        <f t="shared" si="17"/>
        <v>0</v>
      </c>
      <c r="E40" s="75">
        <f>Poor!E40</f>
        <v>1</v>
      </c>
      <c r="F40" s="75">
        <f>Poor!F40</f>
        <v>1</v>
      </c>
      <c r="G40" s="22">
        <f t="shared" si="25"/>
        <v>1.1200000000000001</v>
      </c>
      <c r="H40" s="24">
        <f t="shared" si="18"/>
        <v>1</v>
      </c>
      <c r="I40" s="39">
        <f t="shared" si="19"/>
        <v>0</v>
      </c>
      <c r="J40" s="38">
        <f t="shared" si="20"/>
        <v>0</v>
      </c>
      <c r="K40" s="40">
        <f t="shared" si="21"/>
        <v>0</v>
      </c>
      <c r="L40" s="22">
        <f t="shared" si="22"/>
        <v>0</v>
      </c>
      <c r="M40" s="24">
        <f t="shared" si="23"/>
        <v>0</v>
      </c>
      <c r="N40" s="2"/>
      <c r="O40" s="2"/>
      <c r="P40" s="2"/>
      <c r="Q40" s="2"/>
      <c r="R40" s="2"/>
      <c r="S40" s="2"/>
      <c r="T40" s="2"/>
      <c r="U40" s="56"/>
      <c r="V40" s="56"/>
      <c r="W40" s="109"/>
      <c r="X40" s="117"/>
      <c r="Y40" s="109"/>
      <c r="Z40" s="155">
        <f>Poor!Z40</f>
        <v>0.25</v>
      </c>
      <c r="AA40" s="146">
        <f t="shared" si="30"/>
        <v>0</v>
      </c>
      <c r="AB40" s="155">
        <f>Poor!AB40</f>
        <v>0.25</v>
      </c>
      <c r="AC40" s="146">
        <f t="shared" si="31"/>
        <v>0</v>
      </c>
      <c r="AD40" s="155">
        <f>Poor!AD40</f>
        <v>0.25</v>
      </c>
      <c r="AE40" s="146">
        <f t="shared" si="32"/>
        <v>0</v>
      </c>
      <c r="AF40" s="121">
        <f t="shared" si="24"/>
        <v>0.25</v>
      </c>
      <c r="AG40" s="146">
        <f t="shared" si="26"/>
        <v>0</v>
      </c>
      <c r="AH40" s="122">
        <f t="shared" si="27"/>
        <v>1</v>
      </c>
      <c r="AI40" s="111">
        <f t="shared" si="27"/>
        <v>0</v>
      </c>
      <c r="AJ40" s="147">
        <f t="shared" si="28"/>
        <v>0</v>
      </c>
      <c r="AK40" s="146">
        <f t="shared" si="2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5" ht="14" customHeight="1">
      <c r="A41" s="74" t="str">
        <f>IF(Poor!A41=0,"",Poor!A41)</f>
        <v/>
      </c>
      <c r="B41" s="103">
        <f>IF([1]Summ!$H1076="",0,[1]Summ!$H1076)</f>
        <v>0</v>
      </c>
      <c r="C41" s="103">
        <f>IF([1]Summ!$I1076="",0,[1]Summ!$I1076)</f>
        <v>0</v>
      </c>
      <c r="D41" s="38">
        <f t="shared" si="17"/>
        <v>0</v>
      </c>
      <c r="E41" s="75">
        <f>Poor!E41</f>
        <v>1</v>
      </c>
      <c r="F41" s="75">
        <f>Poor!F41</f>
        <v>1</v>
      </c>
      <c r="G41" s="22">
        <f t="shared" si="25"/>
        <v>1.1200000000000001</v>
      </c>
      <c r="H41" s="24">
        <f t="shared" si="18"/>
        <v>1</v>
      </c>
      <c r="I41" s="39">
        <f t="shared" si="19"/>
        <v>0</v>
      </c>
      <c r="J41" s="38">
        <f t="shared" si="20"/>
        <v>0</v>
      </c>
      <c r="K41" s="40">
        <f t="shared" si="21"/>
        <v>0</v>
      </c>
      <c r="L41" s="22">
        <f t="shared" si="22"/>
        <v>0</v>
      </c>
      <c r="M41" s="24">
        <f t="shared" si="23"/>
        <v>0</v>
      </c>
      <c r="N41" s="2"/>
      <c r="O41" s="2"/>
      <c r="P41" s="2"/>
      <c r="Q41" s="2"/>
      <c r="R41" s="2"/>
      <c r="S41" s="2"/>
      <c r="T41" s="2"/>
      <c r="U41" s="56"/>
      <c r="V41" s="56"/>
      <c r="W41" s="109"/>
      <c r="X41" s="117"/>
      <c r="Y41" s="109"/>
      <c r="Z41" s="155">
        <f>Poor!Z41</f>
        <v>0.25</v>
      </c>
      <c r="AA41" s="146">
        <f t="shared" si="30"/>
        <v>0</v>
      </c>
      <c r="AB41" s="155">
        <f>Poor!AB41</f>
        <v>0.25</v>
      </c>
      <c r="AC41" s="146">
        <f t="shared" si="31"/>
        <v>0</v>
      </c>
      <c r="AD41" s="155">
        <f>Poor!AD41</f>
        <v>0.25</v>
      </c>
      <c r="AE41" s="146">
        <f t="shared" si="32"/>
        <v>0</v>
      </c>
      <c r="AF41" s="121">
        <f t="shared" si="24"/>
        <v>0.25</v>
      </c>
      <c r="AG41" s="146">
        <f t="shared" si="26"/>
        <v>0</v>
      </c>
      <c r="AH41" s="122">
        <f t="shared" si="27"/>
        <v>1</v>
      </c>
      <c r="AI41" s="111">
        <f t="shared" si="27"/>
        <v>0</v>
      </c>
      <c r="AJ41" s="147">
        <f t="shared" si="28"/>
        <v>0</v>
      </c>
      <c r="AK41" s="146">
        <f t="shared" si="2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5" ht="14" customHeight="1">
      <c r="A42" s="74" t="str">
        <f>IF(Poor!A42=0,"",Poor!A42)</f>
        <v/>
      </c>
      <c r="B42" s="103">
        <f>IF([1]Summ!$H1077="",0,[1]Summ!$H1077)</f>
        <v>0</v>
      </c>
      <c r="C42" s="103">
        <f>IF([1]Summ!$I1077="",0,[1]Summ!$I1077)</f>
        <v>0</v>
      </c>
      <c r="D42" s="38">
        <f t="shared" si="17"/>
        <v>0</v>
      </c>
      <c r="E42" s="75">
        <f>Poor!E42</f>
        <v>1</v>
      </c>
      <c r="F42" s="75">
        <f>Poor!F42</f>
        <v>1</v>
      </c>
      <c r="G42" s="22">
        <f t="shared" si="25"/>
        <v>1.1200000000000001</v>
      </c>
      <c r="H42" s="24">
        <f t="shared" si="18"/>
        <v>1</v>
      </c>
      <c r="I42" s="39">
        <f t="shared" si="19"/>
        <v>0</v>
      </c>
      <c r="J42" s="38">
        <f t="shared" si="20"/>
        <v>0</v>
      </c>
      <c r="K42" s="40">
        <f t="shared" si="21"/>
        <v>0</v>
      </c>
      <c r="L42" s="22">
        <f t="shared" si="22"/>
        <v>0</v>
      </c>
      <c r="M42" s="24">
        <f t="shared" si="23"/>
        <v>0</v>
      </c>
      <c r="N42" s="2"/>
      <c r="O42" s="2"/>
      <c r="P42" s="2"/>
      <c r="Q42" s="2"/>
      <c r="R42" s="2"/>
      <c r="S42" s="2"/>
      <c r="T42" s="2"/>
      <c r="U42" s="56"/>
      <c r="V42" s="56"/>
      <c r="W42" s="109"/>
      <c r="X42" s="117"/>
      <c r="Y42" s="109"/>
      <c r="Z42" s="155">
        <f>Poor!Z42</f>
        <v>0.25</v>
      </c>
      <c r="AA42" s="146">
        <f t="shared" si="30"/>
        <v>0</v>
      </c>
      <c r="AB42" s="155">
        <f>Poor!AB42</f>
        <v>0.25</v>
      </c>
      <c r="AC42" s="146">
        <f t="shared" si="31"/>
        <v>0</v>
      </c>
      <c r="AD42" s="155">
        <f>Poor!AD42</f>
        <v>0.25</v>
      </c>
      <c r="AE42" s="146">
        <f t="shared" si="32"/>
        <v>0</v>
      </c>
      <c r="AF42" s="121">
        <f t="shared" si="24"/>
        <v>0.25</v>
      </c>
      <c r="AG42" s="146">
        <f t="shared" si="26"/>
        <v>0</v>
      </c>
      <c r="AH42" s="122">
        <f t="shared" si="27"/>
        <v>1</v>
      </c>
      <c r="AI42" s="111">
        <f t="shared" si="27"/>
        <v>0</v>
      </c>
      <c r="AJ42" s="147">
        <f t="shared" si="28"/>
        <v>0</v>
      </c>
      <c r="AK42" s="146">
        <f t="shared" si="2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5" ht="14" customHeight="1">
      <c r="A43" s="74" t="str">
        <f>IF(Poor!A43=0,"",Poor!A43)</f>
        <v/>
      </c>
      <c r="B43" s="103">
        <f>IF([1]Summ!$H1078="",0,[1]Summ!$H1078)</f>
        <v>0</v>
      </c>
      <c r="C43" s="103">
        <f>IF([1]Summ!$I1078="",0,[1]Summ!$I1078)</f>
        <v>0</v>
      </c>
      <c r="D43" s="38">
        <f t="shared" si="17"/>
        <v>0</v>
      </c>
      <c r="E43" s="75">
        <f>Poor!E43</f>
        <v>1</v>
      </c>
      <c r="F43" s="75">
        <f>Poor!F43</f>
        <v>1</v>
      </c>
      <c r="G43" s="22">
        <f t="shared" si="25"/>
        <v>1.1200000000000001</v>
      </c>
      <c r="H43" s="24">
        <f t="shared" si="18"/>
        <v>1</v>
      </c>
      <c r="I43" s="39">
        <f t="shared" si="19"/>
        <v>0</v>
      </c>
      <c r="J43" s="38">
        <f t="shared" si="20"/>
        <v>0</v>
      </c>
      <c r="K43" s="40">
        <f t="shared" si="21"/>
        <v>0</v>
      </c>
      <c r="L43" s="22">
        <f t="shared" si="22"/>
        <v>0</v>
      </c>
      <c r="M43" s="24">
        <f t="shared" si="23"/>
        <v>0</v>
      </c>
      <c r="N43" s="2"/>
      <c r="O43" s="2"/>
      <c r="P43" s="2"/>
      <c r="Q43" s="2"/>
      <c r="R43" s="2"/>
      <c r="S43" s="2"/>
      <c r="T43" s="2"/>
      <c r="U43" s="56"/>
      <c r="V43" s="56"/>
      <c r="W43" s="109"/>
      <c r="X43" s="117"/>
      <c r="Y43" s="109"/>
      <c r="Z43" s="155">
        <f>Poor!Z43</f>
        <v>0.25</v>
      </c>
      <c r="AA43" s="146">
        <f t="shared" si="30"/>
        <v>0</v>
      </c>
      <c r="AB43" s="155">
        <f>Poor!AB43</f>
        <v>0.25</v>
      </c>
      <c r="AC43" s="146">
        <f t="shared" si="31"/>
        <v>0</v>
      </c>
      <c r="AD43" s="155">
        <f>Poor!AD43</f>
        <v>0.25</v>
      </c>
      <c r="AE43" s="146">
        <f t="shared" si="32"/>
        <v>0</v>
      </c>
      <c r="AF43" s="121">
        <f t="shared" si="24"/>
        <v>0.25</v>
      </c>
      <c r="AG43" s="146">
        <f t="shared" si="26"/>
        <v>0</v>
      </c>
      <c r="AH43" s="122">
        <f t="shared" si="27"/>
        <v>1</v>
      </c>
      <c r="AI43" s="111">
        <f t="shared" si="27"/>
        <v>0</v>
      </c>
      <c r="AJ43" s="147">
        <f t="shared" si="28"/>
        <v>0</v>
      </c>
      <c r="AK43" s="146">
        <f t="shared" si="2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5" ht="14" customHeight="1">
      <c r="A44" s="74" t="str">
        <f>IF(Poor!A44=0,"",Poor!A44)</f>
        <v/>
      </c>
      <c r="B44" s="103">
        <f>IF([1]Summ!$H1079="",0,[1]Summ!$H1079)</f>
        <v>0</v>
      </c>
      <c r="C44" s="103">
        <f>IF([1]Summ!$I1079="",0,[1]Summ!$I1079)</f>
        <v>0</v>
      </c>
      <c r="D44" s="38">
        <f t="shared" si="17"/>
        <v>0</v>
      </c>
      <c r="E44" s="75">
        <f>Poor!E44</f>
        <v>1</v>
      </c>
      <c r="F44" s="75">
        <f>Poor!F44</f>
        <v>1</v>
      </c>
      <c r="G44" s="22">
        <f t="shared" si="25"/>
        <v>1.1200000000000001</v>
      </c>
      <c r="H44" s="24">
        <f t="shared" si="18"/>
        <v>1</v>
      </c>
      <c r="I44" s="39">
        <f t="shared" si="19"/>
        <v>0</v>
      </c>
      <c r="J44" s="38">
        <f t="shared" si="20"/>
        <v>0</v>
      </c>
      <c r="K44" s="40">
        <f t="shared" si="21"/>
        <v>0</v>
      </c>
      <c r="L44" s="22">
        <f t="shared" si="22"/>
        <v>0</v>
      </c>
      <c r="M44" s="24">
        <f t="shared" si="23"/>
        <v>0</v>
      </c>
      <c r="N44" s="2"/>
      <c r="O44" s="2"/>
      <c r="P44" s="2"/>
      <c r="Q44" s="2"/>
      <c r="R44" s="2"/>
      <c r="S44" s="2"/>
      <c r="T44" s="2"/>
      <c r="U44" s="56"/>
      <c r="V44" s="56"/>
      <c r="W44" s="109"/>
      <c r="X44" s="117"/>
      <c r="Y44" s="109"/>
      <c r="Z44" s="155">
        <f>Poor!Z44</f>
        <v>0.25</v>
      </c>
      <c r="AA44" s="146">
        <f t="shared" si="30"/>
        <v>0</v>
      </c>
      <c r="AB44" s="155">
        <f>Poor!AB44</f>
        <v>0.25</v>
      </c>
      <c r="AC44" s="146">
        <f t="shared" si="31"/>
        <v>0</v>
      </c>
      <c r="AD44" s="155">
        <f>Poor!AD44</f>
        <v>0.25</v>
      </c>
      <c r="AE44" s="146">
        <f t="shared" si="32"/>
        <v>0</v>
      </c>
      <c r="AF44" s="121">
        <f t="shared" si="24"/>
        <v>0.25</v>
      </c>
      <c r="AG44" s="146">
        <f t="shared" si="26"/>
        <v>0</v>
      </c>
      <c r="AH44" s="122">
        <f t="shared" si="27"/>
        <v>1</v>
      </c>
      <c r="AI44" s="111">
        <f t="shared" si="27"/>
        <v>0</v>
      </c>
      <c r="AJ44" s="147">
        <f t="shared" si="28"/>
        <v>0</v>
      </c>
      <c r="AK44" s="146">
        <f t="shared" si="2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5" ht="14" customHeight="1">
      <c r="A45" s="74" t="str">
        <f>IF(Poor!A45=0,"",Poor!A45)</f>
        <v/>
      </c>
      <c r="B45" s="103">
        <f>IF([1]Summ!$H1080="",0,[1]Summ!$H1080)</f>
        <v>0</v>
      </c>
      <c r="C45" s="103">
        <f>IF([1]Summ!$I1080="",0,[1]Summ!$I1080)</f>
        <v>0</v>
      </c>
      <c r="D45" s="38">
        <f t="shared" si="17"/>
        <v>0</v>
      </c>
      <c r="E45" s="75">
        <f>Poor!E45</f>
        <v>1</v>
      </c>
      <c r="F45" s="75">
        <f>Poor!F45</f>
        <v>1</v>
      </c>
      <c r="G45" s="22">
        <f t="shared" si="25"/>
        <v>1.1200000000000001</v>
      </c>
      <c r="H45" s="24">
        <f t="shared" si="18"/>
        <v>1</v>
      </c>
      <c r="I45" s="39">
        <f t="shared" si="19"/>
        <v>0</v>
      </c>
      <c r="J45" s="38">
        <f t="shared" si="20"/>
        <v>0</v>
      </c>
      <c r="K45" s="40">
        <f t="shared" si="21"/>
        <v>0</v>
      </c>
      <c r="L45" s="22">
        <f t="shared" si="22"/>
        <v>0</v>
      </c>
      <c r="M45" s="24">
        <f t="shared" si="23"/>
        <v>0</v>
      </c>
      <c r="N45" s="2"/>
      <c r="O45" s="2"/>
      <c r="P45" s="2"/>
      <c r="Q45" s="2"/>
      <c r="R45" s="2"/>
      <c r="S45" s="2"/>
      <c r="T45" s="2"/>
      <c r="U45" s="56"/>
      <c r="V45" s="56"/>
      <c r="W45" s="109"/>
      <c r="X45" s="117"/>
      <c r="Y45" s="109"/>
      <c r="Z45" s="155">
        <f>Poor!Z45</f>
        <v>0.25</v>
      </c>
      <c r="AA45" s="146">
        <f t="shared" si="30"/>
        <v>0</v>
      </c>
      <c r="AB45" s="155">
        <f>Poor!AB45</f>
        <v>0.25</v>
      </c>
      <c r="AC45" s="146">
        <f t="shared" si="31"/>
        <v>0</v>
      </c>
      <c r="AD45" s="155">
        <f>Poor!AD45</f>
        <v>0.25</v>
      </c>
      <c r="AE45" s="146">
        <f t="shared" si="32"/>
        <v>0</v>
      </c>
      <c r="AF45" s="121">
        <f t="shared" si="24"/>
        <v>0.25</v>
      </c>
      <c r="AG45" s="146">
        <f t="shared" si="26"/>
        <v>0</v>
      </c>
      <c r="AH45" s="122">
        <f t="shared" si="27"/>
        <v>1</v>
      </c>
      <c r="AI45" s="111">
        <f t="shared" si="27"/>
        <v>0</v>
      </c>
      <c r="AJ45" s="147">
        <f t="shared" si="28"/>
        <v>0</v>
      </c>
      <c r="AK45" s="146">
        <f t="shared" si="2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5" ht="14" customHeight="1">
      <c r="A46" s="74" t="str">
        <f>IF(Poor!A46=0,"",Poor!A46)</f>
        <v/>
      </c>
      <c r="B46" s="103">
        <f>IF([1]Summ!$H1081="",0,[1]Summ!$H1081)</f>
        <v>0</v>
      </c>
      <c r="C46" s="103">
        <f>IF([1]Summ!$I1081="",0,[1]Summ!$I1081)</f>
        <v>0</v>
      </c>
      <c r="D46" s="38">
        <f t="shared" si="17"/>
        <v>0</v>
      </c>
      <c r="E46" s="75">
        <f>Poor!E46</f>
        <v>1</v>
      </c>
      <c r="F46" s="75">
        <f>Poor!F46</f>
        <v>1</v>
      </c>
      <c r="G46" s="22">
        <f t="shared" si="25"/>
        <v>1.1200000000000001</v>
      </c>
      <c r="H46" s="24">
        <f t="shared" si="18"/>
        <v>1</v>
      </c>
      <c r="I46" s="39">
        <f t="shared" si="19"/>
        <v>0</v>
      </c>
      <c r="J46" s="38">
        <f t="shared" si="20"/>
        <v>0</v>
      </c>
      <c r="K46" s="40">
        <f t="shared" si="21"/>
        <v>0</v>
      </c>
      <c r="L46" s="22">
        <f t="shared" si="22"/>
        <v>0</v>
      </c>
      <c r="M46" s="24">
        <f t="shared" si="23"/>
        <v>0</v>
      </c>
      <c r="N46" s="2"/>
      <c r="O46" s="2"/>
      <c r="P46" s="2"/>
      <c r="Q46" s="2"/>
      <c r="R46" s="2"/>
      <c r="S46" s="2"/>
      <c r="T46" s="2"/>
      <c r="U46" s="56"/>
      <c r="V46" s="56"/>
      <c r="W46" s="109"/>
      <c r="X46" s="117"/>
      <c r="Y46" s="109"/>
      <c r="Z46" s="155">
        <f>Poor!Z46</f>
        <v>0.25</v>
      </c>
      <c r="AA46" s="146">
        <f t="shared" si="30"/>
        <v>0</v>
      </c>
      <c r="AB46" s="155">
        <f>Poor!AB46</f>
        <v>0.25</v>
      </c>
      <c r="AC46" s="146">
        <f t="shared" si="31"/>
        <v>0</v>
      </c>
      <c r="AD46" s="155">
        <f>Poor!AD46</f>
        <v>0.25</v>
      </c>
      <c r="AE46" s="146">
        <f t="shared" si="32"/>
        <v>0</v>
      </c>
      <c r="AF46" s="121">
        <f t="shared" si="24"/>
        <v>0.25</v>
      </c>
      <c r="AG46" s="146">
        <f t="shared" si="26"/>
        <v>0</v>
      </c>
      <c r="AH46" s="122">
        <f t="shared" ref="AH46:AI51" si="33">SUM(Z46,AB46,AD46,AF46)</f>
        <v>1</v>
      </c>
      <c r="AI46" s="111">
        <f t="shared" si="33"/>
        <v>0</v>
      </c>
      <c r="AJ46" s="147">
        <f t="shared" si="28"/>
        <v>0</v>
      </c>
      <c r="AK46" s="146">
        <f t="shared" si="2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5" ht="14" customHeight="1">
      <c r="A47" s="74" t="str">
        <f>IF(Poor!A47=0,"",Poor!A47)</f>
        <v/>
      </c>
      <c r="B47" s="103">
        <f>IF([1]Summ!$H1082="",0,[1]Summ!$H1082)</f>
        <v>0</v>
      </c>
      <c r="C47" s="103">
        <f>IF([1]Summ!$I1082="",0,[1]Summ!$I1082)</f>
        <v>0</v>
      </c>
      <c r="D47" s="38">
        <f t="shared" si="17"/>
        <v>0</v>
      </c>
      <c r="E47" s="75">
        <f>Poor!E47</f>
        <v>1</v>
      </c>
      <c r="F47" s="75">
        <f>Poor!F47</f>
        <v>1</v>
      </c>
      <c r="G47" s="22">
        <f t="shared" si="25"/>
        <v>1.1200000000000001</v>
      </c>
      <c r="H47" s="24">
        <f t="shared" si="18"/>
        <v>1</v>
      </c>
      <c r="I47" s="39">
        <f t="shared" si="19"/>
        <v>0</v>
      </c>
      <c r="J47" s="38">
        <f t="shared" si="20"/>
        <v>0</v>
      </c>
      <c r="K47" s="40">
        <f t="shared" si="21"/>
        <v>0</v>
      </c>
      <c r="L47" s="22">
        <f t="shared" si="22"/>
        <v>0</v>
      </c>
      <c r="M47" s="24">
        <f t="shared" si="23"/>
        <v>0</v>
      </c>
      <c r="N47" s="2"/>
      <c r="O47" s="2"/>
      <c r="P47" s="2"/>
      <c r="Q47" s="2"/>
      <c r="R47" s="2"/>
      <c r="S47" s="2"/>
      <c r="T47" s="2"/>
      <c r="U47" s="56"/>
      <c r="V47" s="56"/>
      <c r="W47" s="109"/>
      <c r="X47" s="117"/>
      <c r="Y47" s="109"/>
      <c r="Z47" s="155">
        <f>Poor!Z47</f>
        <v>0.25</v>
      </c>
      <c r="AA47" s="146">
        <f t="shared" si="30"/>
        <v>0</v>
      </c>
      <c r="AB47" s="155">
        <f>Poor!AB47</f>
        <v>0.25</v>
      </c>
      <c r="AC47" s="146">
        <f t="shared" si="31"/>
        <v>0</v>
      </c>
      <c r="AD47" s="155">
        <f>Poor!AD47</f>
        <v>0.25</v>
      </c>
      <c r="AE47" s="146">
        <f t="shared" si="32"/>
        <v>0</v>
      </c>
      <c r="AF47" s="121">
        <f t="shared" si="24"/>
        <v>0.25</v>
      </c>
      <c r="AG47" s="146">
        <f t="shared" si="26"/>
        <v>0</v>
      </c>
      <c r="AH47" s="122">
        <f t="shared" si="33"/>
        <v>1</v>
      </c>
      <c r="AI47" s="111">
        <f t="shared" si="33"/>
        <v>0</v>
      </c>
      <c r="AJ47" s="147">
        <f t="shared" si="28"/>
        <v>0</v>
      </c>
      <c r="AK47" s="146">
        <f t="shared" si="2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5" ht="14" customHeight="1">
      <c r="A48" s="74" t="str">
        <f>IF(Poor!A48=0,"",Poor!A48)</f>
        <v/>
      </c>
      <c r="B48" s="103">
        <f>IF([1]Summ!$H1083="",0,[1]Summ!$H1083)</f>
        <v>0</v>
      </c>
      <c r="C48" s="103">
        <f>IF([1]Summ!$I1083="",0,[1]Summ!$I1083)</f>
        <v>0</v>
      </c>
      <c r="D48" s="38">
        <f t="shared" si="17"/>
        <v>0</v>
      </c>
      <c r="E48" s="75">
        <f>Poor!E48</f>
        <v>1</v>
      </c>
      <c r="F48" s="75">
        <f>Poor!F48</f>
        <v>1</v>
      </c>
      <c r="G48" s="22">
        <f t="shared" si="25"/>
        <v>1.1200000000000001</v>
      </c>
      <c r="H48" s="24">
        <f t="shared" si="18"/>
        <v>1</v>
      </c>
      <c r="I48" s="39">
        <f t="shared" si="19"/>
        <v>0</v>
      </c>
      <c r="J48" s="38">
        <f t="shared" si="20"/>
        <v>0</v>
      </c>
      <c r="K48" s="40">
        <f t="shared" si="21"/>
        <v>0</v>
      </c>
      <c r="L48" s="22">
        <f t="shared" si="22"/>
        <v>0</v>
      </c>
      <c r="M48" s="24">
        <f t="shared" si="23"/>
        <v>0</v>
      </c>
      <c r="N48" s="2"/>
      <c r="O48" s="2"/>
      <c r="P48" s="2"/>
      <c r="Q48" s="2"/>
      <c r="R48" s="2"/>
      <c r="S48" s="2"/>
      <c r="T48" s="2"/>
      <c r="U48" s="56"/>
      <c r="V48" s="56"/>
      <c r="W48" s="109"/>
      <c r="X48" s="117"/>
      <c r="Y48" s="109"/>
      <c r="Z48" s="155">
        <f>Poor!Z48</f>
        <v>0.25</v>
      </c>
      <c r="AA48" s="146">
        <f t="shared" si="30"/>
        <v>0</v>
      </c>
      <c r="AB48" s="155">
        <f>Poor!AB48</f>
        <v>0.25</v>
      </c>
      <c r="AC48" s="146">
        <f t="shared" si="31"/>
        <v>0</v>
      </c>
      <c r="AD48" s="155">
        <f>Poor!AD48</f>
        <v>0.25</v>
      </c>
      <c r="AE48" s="146">
        <f t="shared" si="32"/>
        <v>0</v>
      </c>
      <c r="AF48" s="121">
        <f t="shared" si="24"/>
        <v>0.25</v>
      </c>
      <c r="AG48" s="146">
        <f t="shared" si="26"/>
        <v>0</v>
      </c>
      <c r="AH48" s="122">
        <f t="shared" si="33"/>
        <v>1</v>
      </c>
      <c r="AI48" s="111">
        <f t="shared" si="33"/>
        <v>0</v>
      </c>
      <c r="AJ48" s="147">
        <f t="shared" si="28"/>
        <v>0</v>
      </c>
      <c r="AK48" s="146">
        <f t="shared" si="2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103">
        <f>IF([1]Summ!$H1084="",0,[1]Summ!$H1084)</f>
        <v>0</v>
      </c>
      <c r="C49" s="103">
        <f>IF([1]Summ!$I1084="",0,[1]Summ!$I1084)</f>
        <v>0</v>
      </c>
      <c r="D49" s="38">
        <f t="shared" si="17"/>
        <v>0</v>
      </c>
      <c r="E49" s="75">
        <f>Poor!E49</f>
        <v>1</v>
      </c>
      <c r="F49" s="75">
        <f>Poor!F49</f>
        <v>1</v>
      </c>
      <c r="G49" s="22">
        <f t="shared" si="25"/>
        <v>1.1200000000000001</v>
      </c>
      <c r="H49" s="24">
        <f t="shared" si="18"/>
        <v>1</v>
      </c>
      <c r="I49" s="39">
        <f t="shared" si="19"/>
        <v>0</v>
      </c>
      <c r="J49" s="38">
        <f t="shared" si="20"/>
        <v>0</v>
      </c>
      <c r="K49" s="40">
        <f t="shared" si="21"/>
        <v>0</v>
      </c>
      <c r="L49" s="22">
        <f t="shared" si="22"/>
        <v>0</v>
      </c>
      <c r="M49" s="24">
        <f t="shared" si="23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09"/>
      <c r="X49" s="117"/>
      <c r="Y49" s="109"/>
      <c r="Z49" s="155">
        <f>Poor!Z49</f>
        <v>0.25</v>
      </c>
      <c r="AA49" s="146">
        <f t="shared" si="30"/>
        <v>0</v>
      </c>
      <c r="AB49" s="155">
        <f>Poor!AB49</f>
        <v>0.25</v>
      </c>
      <c r="AC49" s="146">
        <f t="shared" si="31"/>
        <v>0</v>
      </c>
      <c r="AD49" s="155">
        <f>Poor!AD49</f>
        <v>0.25</v>
      </c>
      <c r="AE49" s="146">
        <f t="shared" si="32"/>
        <v>0</v>
      </c>
      <c r="AF49" s="121">
        <f t="shared" si="24"/>
        <v>0.25</v>
      </c>
      <c r="AG49" s="146">
        <f t="shared" si="26"/>
        <v>0</v>
      </c>
      <c r="AH49" s="122">
        <f t="shared" si="33"/>
        <v>1</v>
      </c>
      <c r="AI49" s="111">
        <f t="shared" si="33"/>
        <v>0</v>
      </c>
      <c r="AJ49" s="147">
        <f t="shared" si="28"/>
        <v>0</v>
      </c>
      <c r="AK49" s="146">
        <f t="shared" si="2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3">
        <f>IF([1]Summ!$H1085="",0,[1]Summ!$H1085)</f>
        <v>0</v>
      </c>
      <c r="C50" s="103">
        <f>IF([1]Summ!$I1085="",0,[1]Summ!$I1085)</f>
        <v>0</v>
      </c>
      <c r="D50" s="38">
        <f t="shared" si="17"/>
        <v>0</v>
      </c>
      <c r="E50" s="75">
        <f>Poor!E50</f>
        <v>1</v>
      </c>
      <c r="F50" s="75">
        <f>Poor!F50</f>
        <v>1</v>
      </c>
      <c r="G50" s="22">
        <f t="shared" si="25"/>
        <v>1.1200000000000001</v>
      </c>
      <c r="H50" s="24">
        <f t="shared" si="18"/>
        <v>1</v>
      </c>
      <c r="I50" s="39">
        <f t="shared" si="19"/>
        <v>0</v>
      </c>
      <c r="J50" s="38">
        <f t="shared" si="20"/>
        <v>0</v>
      </c>
      <c r="K50" s="40">
        <f t="shared" si="21"/>
        <v>0</v>
      </c>
      <c r="L50" s="22">
        <f t="shared" si="22"/>
        <v>0</v>
      </c>
      <c r="M50" s="24">
        <f t="shared" si="23"/>
        <v>0</v>
      </c>
      <c r="N50" s="2"/>
      <c r="O50" s="2"/>
      <c r="P50" s="2"/>
      <c r="Q50" s="2"/>
      <c r="R50" s="2"/>
      <c r="S50" s="2"/>
      <c r="T50" s="2"/>
      <c r="U50" s="56"/>
      <c r="V50" s="56"/>
      <c r="W50" s="109"/>
      <c r="X50" s="117"/>
      <c r="Y50" s="109"/>
      <c r="Z50" s="155">
        <f>Poor!Z50</f>
        <v>0.25</v>
      </c>
      <c r="AA50" s="146">
        <f t="shared" si="30"/>
        <v>0</v>
      </c>
      <c r="AB50" s="155">
        <f>Poor!AB50</f>
        <v>0.25</v>
      </c>
      <c r="AC50" s="146">
        <f t="shared" si="31"/>
        <v>0</v>
      </c>
      <c r="AD50" s="155">
        <f>Poor!AD50</f>
        <v>0.25</v>
      </c>
      <c r="AE50" s="146">
        <f t="shared" si="32"/>
        <v>0</v>
      </c>
      <c r="AF50" s="121">
        <f t="shared" si="24"/>
        <v>0.25</v>
      </c>
      <c r="AG50" s="146">
        <f t="shared" si="26"/>
        <v>0</v>
      </c>
      <c r="AH50" s="122">
        <f t="shared" si="33"/>
        <v>1</v>
      </c>
      <c r="AI50" s="111">
        <f t="shared" si="33"/>
        <v>0</v>
      </c>
      <c r="AJ50" s="147">
        <f t="shared" si="28"/>
        <v>0</v>
      </c>
      <c r="AK50" s="146">
        <f t="shared" si="2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3">
        <f>IF([1]Summ!$H1086="",0,[1]Summ!$H1086)</f>
        <v>0</v>
      </c>
      <c r="C51" s="103">
        <f>IF([1]Summ!$I1086="",0,[1]Summ!$I1086)</f>
        <v>0</v>
      </c>
      <c r="D51" s="38">
        <f t="shared" si="17"/>
        <v>0</v>
      </c>
      <c r="E51" s="75">
        <f>Poor!E51</f>
        <v>1</v>
      </c>
      <c r="F51" s="75">
        <f>Poor!F51</f>
        <v>1</v>
      </c>
      <c r="G51" s="22">
        <f t="shared" si="25"/>
        <v>1.1200000000000001</v>
      </c>
      <c r="H51" s="24">
        <f t="shared" si="18"/>
        <v>1</v>
      </c>
      <c r="I51" s="39">
        <f t="shared" si="19"/>
        <v>0</v>
      </c>
      <c r="J51" s="38">
        <f t="shared" si="20"/>
        <v>0</v>
      </c>
      <c r="K51" s="40">
        <f t="shared" si="21"/>
        <v>0</v>
      </c>
      <c r="L51" s="22">
        <f t="shared" si="22"/>
        <v>0</v>
      </c>
      <c r="M51" s="24">
        <f t="shared" si="23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09"/>
      <c r="X51" s="117"/>
      <c r="Y51" s="109"/>
      <c r="Z51" s="155">
        <f>Poor!Z51</f>
        <v>0.25</v>
      </c>
      <c r="AA51" s="148">
        <f t="shared" si="30"/>
        <v>0</v>
      </c>
      <c r="AB51" s="155">
        <f>Poor!AB51</f>
        <v>0.25</v>
      </c>
      <c r="AC51" s="148">
        <f t="shared" si="31"/>
        <v>0</v>
      </c>
      <c r="AD51" s="155">
        <f>Poor!AD51</f>
        <v>0.25</v>
      </c>
      <c r="AE51" s="148">
        <f t="shared" si="32"/>
        <v>0</v>
      </c>
      <c r="AF51" s="149">
        <f t="shared" si="24"/>
        <v>0.25</v>
      </c>
      <c r="AG51" s="148">
        <f t="shared" si="26"/>
        <v>0</v>
      </c>
      <c r="AH51" s="122">
        <f t="shared" si="33"/>
        <v>1</v>
      </c>
      <c r="AI51" s="111">
        <f t="shared" si="33"/>
        <v>0</v>
      </c>
      <c r="AJ51" s="150">
        <f t="shared" si="28"/>
        <v>0</v>
      </c>
      <c r="AK51" s="148">
        <f t="shared" si="2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39" t="s">
        <v>32</v>
      </c>
      <c r="B52" s="39">
        <f>SUM(B29:B51)</f>
        <v>136102.90322580645</v>
      </c>
      <c r="C52" s="39">
        <f>SUM(C29:C51)</f>
        <v>6504</v>
      </c>
      <c r="D52" s="42">
        <f>SUM(D29:D51)</f>
        <v>142606.90322580645</v>
      </c>
      <c r="E52" s="32"/>
      <c r="F52" s="32"/>
      <c r="G52" s="32"/>
      <c r="H52" s="31"/>
      <c r="I52" s="39">
        <f>SUM(I29:I51)</f>
        <v>154219.99758064514</v>
      </c>
      <c r="J52" s="39">
        <f>SUM(J29:J51)</f>
        <v>146846.37901535531</v>
      </c>
      <c r="K52" s="40">
        <f>SUM(K29:K51)</f>
        <v>1</v>
      </c>
      <c r="L52" s="22">
        <f>SUM(L29:L51)</f>
        <v>1.0805764909852367</v>
      </c>
      <c r="M52" s="24">
        <f>SUM(M29:M51)</f>
        <v>1.0789364189515085</v>
      </c>
      <c r="N52" s="2"/>
      <c r="O52" s="2"/>
      <c r="P52" s="2"/>
      <c r="Q52" s="2"/>
      <c r="R52" s="2"/>
      <c r="S52" s="2"/>
      <c r="T52" s="2"/>
      <c r="U52" s="56"/>
      <c r="V52" s="56"/>
      <c r="W52" s="109"/>
      <c r="X52" s="151"/>
      <c r="Y52" s="109"/>
      <c r="Z52" s="136"/>
      <c r="AA52" s="152">
        <f>SUM(AA29:AA51)</f>
        <v>33781.497475870681</v>
      </c>
      <c r="AB52" s="136"/>
      <c r="AC52" s="152">
        <f>SUM(AC29:AC51)</f>
        <v>33600.428725870683</v>
      </c>
      <c r="AD52" s="136"/>
      <c r="AE52" s="152">
        <f>SUM(AE29:AE51)</f>
        <v>33962.566225870687</v>
      </c>
      <c r="AF52" s="136"/>
      <c r="AG52" s="152">
        <f>SUM(AG29:AG51)</f>
        <v>45501.886587743254</v>
      </c>
      <c r="AH52" s="136"/>
      <c r="AI52" s="152">
        <f>SUM(AI29:AI51)</f>
        <v>146846.37901535531</v>
      </c>
      <c r="AJ52" s="152">
        <f>SUM(AJ29:AJ51)</f>
        <v>67381.926201741371</v>
      </c>
      <c r="AK52" s="152">
        <f>SUM(AK29:AK51)</f>
        <v>79464.452813613942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3.5" customHeight="1">
      <c r="A53" s="78"/>
      <c r="B53" s="78"/>
      <c r="C53" s="78"/>
      <c r="D53" s="44"/>
      <c r="E53" s="14"/>
      <c r="F53" s="14"/>
      <c r="G53" s="14"/>
      <c r="H53" s="44"/>
      <c r="I53" s="14"/>
      <c r="J53" s="44"/>
      <c r="K53" s="45"/>
      <c r="L53" s="11"/>
      <c r="M53" s="10"/>
      <c r="N53" s="2"/>
      <c r="O53" s="2"/>
      <c r="P53" s="2"/>
      <c r="Q53" s="2"/>
      <c r="R53" s="2"/>
      <c r="S53" s="2"/>
      <c r="T53" s="2"/>
      <c r="U53" s="56"/>
      <c r="V53" s="56"/>
      <c r="W53" s="109"/>
      <c r="X53" s="117"/>
      <c r="Y53" s="109"/>
      <c r="Z53" s="142"/>
      <c r="AA53" s="153"/>
      <c r="AB53" s="142"/>
      <c r="AC53" s="153"/>
      <c r="AD53" s="142"/>
      <c r="AE53" s="153"/>
      <c r="AF53" s="142"/>
      <c r="AG53" s="153"/>
      <c r="AH53" s="142"/>
      <c r="AI53" s="153"/>
      <c r="AJ53" s="142"/>
      <c r="AK53" s="143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5.75" customHeight="1">
      <c r="A54" s="73" t="s">
        <v>49</v>
      </c>
      <c r="B54" s="39"/>
      <c r="C54" s="39"/>
      <c r="D54" s="38"/>
      <c r="E54" s="32"/>
      <c r="F54" s="32"/>
      <c r="G54" s="32"/>
      <c r="H54" s="31"/>
      <c r="I54" s="47"/>
      <c r="J54" s="48"/>
      <c r="K54" s="34" t="s">
        <v>34</v>
      </c>
      <c r="L54" s="2"/>
      <c r="M54" s="31"/>
      <c r="N54" s="2"/>
      <c r="O54" s="2"/>
      <c r="P54" s="2"/>
      <c r="Q54" s="2"/>
      <c r="R54" s="2"/>
      <c r="S54" s="2"/>
      <c r="T54" s="2"/>
      <c r="U54" s="56"/>
      <c r="V54" s="56"/>
      <c r="W54" s="109"/>
      <c r="X54" s="117"/>
      <c r="Y54" s="109"/>
      <c r="Z54" s="144"/>
      <c r="AA54" s="146"/>
      <c r="AB54" s="144"/>
      <c r="AC54" s="146"/>
      <c r="AD54" s="144"/>
      <c r="AE54" s="146"/>
      <c r="AF54" s="144"/>
      <c r="AG54" s="146"/>
      <c r="AH54" s="144"/>
      <c r="AI54" s="146"/>
      <c r="AJ54" s="144"/>
      <c r="AK54" s="145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9"/>
      <c r="B55" s="80" t="s">
        <v>7</v>
      </c>
      <c r="C55" s="39"/>
      <c r="D55" s="50"/>
      <c r="E55" s="19" t="s">
        <v>10</v>
      </c>
      <c r="F55" s="2" t="s">
        <v>28</v>
      </c>
      <c r="G55" s="2"/>
      <c r="H55" s="16" t="s">
        <v>12</v>
      </c>
      <c r="I55" s="19" t="s">
        <v>13</v>
      </c>
      <c r="J55" s="16" t="s">
        <v>14</v>
      </c>
      <c r="K55" s="37" t="s">
        <v>7</v>
      </c>
      <c r="L55" s="19" t="s">
        <v>15</v>
      </c>
      <c r="M55" s="16" t="s">
        <v>14</v>
      </c>
      <c r="N55" s="2"/>
      <c r="O55" s="2"/>
      <c r="P55" s="2"/>
      <c r="Q55" s="2"/>
      <c r="R55" s="2"/>
      <c r="S55" s="2"/>
      <c r="T55" s="2"/>
      <c r="U55" s="56"/>
      <c r="V55" s="56"/>
      <c r="W55" s="111"/>
      <c r="X55" s="117"/>
      <c r="Y55" s="109"/>
      <c r="Z55" s="144"/>
      <c r="AA55" s="146"/>
      <c r="AB55" s="144"/>
      <c r="AC55" s="146"/>
      <c r="AD55" s="144"/>
      <c r="AE55" s="146"/>
      <c r="AF55" s="144"/>
      <c r="AG55" s="146"/>
      <c r="AH55" s="144"/>
      <c r="AI55" s="146"/>
      <c r="AJ55" s="144"/>
      <c r="AK55" s="145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39" t="s">
        <v>30</v>
      </c>
      <c r="B56" s="80" t="s">
        <v>35</v>
      </c>
      <c r="C56" s="39"/>
      <c r="D56" s="38"/>
      <c r="E56" s="19" t="s">
        <v>18</v>
      </c>
      <c r="F56" s="2" t="s">
        <v>31</v>
      </c>
      <c r="G56" s="2"/>
      <c r="H56" s="16" t="s">
        <v>18</v>
      </c>
      <c r="I56" s="19" t="s">
        <v>35</v>
      </c>
      <c r="J56" s="16" t="s">
        <v>35</v>
      </c>
      <c r="K56" s="37" t="s">
        <v>35</v>
      </c>
      <c r="L56" s="19" t="s">
        <v>19</v>
      </c>
      <c r="M56" s="16" t="s">
        <v>35</v>
      </c>
      <c r="N56" s="2"/>
      <c r="O56" s="2"/>
      <c r="P56" s="2"/>
      <c r="Q56" s="2"/>
      <c r="R56" s="2"/>
      <c r="S56" s="2"/>
      <c r="T56" s="2"/>
      <c r="U56" s="56"/>
      <c r="V56" s="56"/>
      <c r="W56" s="109"/>
      <c r="X56" s="117"/>
      <c r="Y56" s="109"/>
      <c r="Z56" s="144"/>
      <c r="AA56" s="146"/>
      <c r="AB56" s="144"/>
      <c r="AC56" s="146"/>
      <c r="AD56" s="144"/>
      <c r="AE56" s="146"/>
      <c r="AF56" s="144"/>
      <c r="AG56" s="146"/>
      <c r="AH56" s="144"/>
      <c r="AI56" s="146"/>
      <c r="AJ56" s="144"/>
      <c r="AK56" s="145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109" t="s">
        <v>132</v>
      </c>
      <c r="B57" s="237">
        <f>[1]Summ!$H1031</f>
        <v>15229.163962455043</v>
      </c>
      <c r="C57" s="39"/>
      <c r="D57" s="38"/>
      <c r="E57" s="75">
        <f>Poor!E57</f>
        <v>1</v>
      </c>
      <c r="F57" s="75">
        <f>Poor!F57</f>
        <v>1.1399999999999999</v>
      </c>
      <c r="G57" s="22"/>
      <c r="H57" s="24">
        <f>(E57*F57)</f>
        <v>1.1399999999999999</v>
      </c>
      <c r="I57" s="39">
        <f>I106*I$70</f>
        <v>17361.246917198747</v>
      </c>
      <c r="J57" s="51">
        <f>J106*I$70</f>
        <v>17361.246917198747</v>
      </c>
      <c r="K57" s="40">
        <f t="shared" ref="K57:K62" si="34">B57/B$63</f>
        <v>0.11189448278842772</v>
      </c>
      <c r="L57" s="22">
        <f t="shared" ref="L57:L62" si="35">(L106*G$29*F$9/F$7)/B$112</f>
        <v>0.12755971037880753</v>
      </c>
      <c r="M57" s="24">
        <f t="shared" ref="M57:M62" si="36">J57/B$63</f>
        <v>0.12755971037880759</v>
      </c>
      <c r="N57" s="2"/>
      <c r="O57" s="2"/>
      <c r="P57" s="2"/>
      <c r="Q57" s="2"/>
      <c r="R57" s="2"/>
      <c r="S57" s="2"/>
      <c r="T57" s="2"/>
      <c r="U57" s="56"/>
      <c r="V57" s="56"/>
      <c r="W57" s="109"/>
      <c r="X57" s="117"/>
      <c r="Y57" s="109"/>
      <c r="Z57" s="155">
        <f>Poor!Z57</f>
        <v>0.25</v>
      </c>
      <c r="AA57" s="146">
        <f>$J57*Z57</f>
        <v>4340.3117292996867</v>
      </c>
      <c r="AB57" s="155">
        <f>Poor!AB57</f>
        <v>0.25</v>
      </c>
      <c r="AC57" s="146">
        <f>$J57*AB57</f>
        <v>4340.3117292996867</v>
      </c>
      <c r="AD57" s="155">
        <f>Poor!AD57</f>
        <v>0.25</v>
      </c>
      <c r="AE57" s="146">
        <f>$J57*AD57</f>
        <v>4340.3117292996867</v>
      </c>
      <c r="AF57" s="155">
        <f>Poor!AF57</f>
        <v>0.25</v>
      </c>
      <c r="AG57" s="146">
        <f>$J57*AF57</f>
        <v>4340.3117292996867</v>
      </c>
      <c r="AH57" s="154">
        <f>SUM(Z57,AB57,AD57,AF57)</f>
        <v>1</v>
      </c>
      <c r="AI57" s="146">
        <f>SUM(AA57,AC57,AE57,AG57)</f>
        <v>17361.246917198747</v>
      </c>
      <c r="AJ57" s="147">
        <f>(AA57+AC57)</f>
        <v>8680.6234585993734</v>
      </c>
      <c r="AK57" s="146">
        <f>(AE57+AG57)</f>
        <v>8680.6234585993734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3.5" customHeight="1">
      <c r="A58" s="109" t="s">
        <v>133</v>
      </c>
      <c r="B58" s="237">
        <f>[1]Summ!$H1032</f>
        <v>11684</v>
      </c>
      <c r="C58" s="39"/>
      <c r="D58" s="38"/>
      <c r="E58" s="75">
        <f>Poor!E58</f>
        <v>1</v>
      </c>
      <c r="F58" s="75">
        <f>Poor!F58</f>
        <v>1.1100000000000001</v>
      </c>
      <c r="G58" s="22"/>
      <c r="H58" s="24">
        <f>(E58*F58)</f>
        <v>1.1100000000000001</v>
      </c>
      <c r="I58" s="39">
        <f>I107*I$70</f>
        <v>12969.240000000003</v>
      </c>
      <c r="J58" s="51">
        <f>J107*I$70</f>
        <v>12969.240000000003</v>
      </c>
      <c r="K58" s="40">
        <f t="shared" si="34"/>
        <v>8.584680945868757E-2</v>
      </c>
      <c r="L58" s="22">
        <f t="shared" si="35"/>
        <v>9.5289958499143221E-2</v>
      </c>
      <c r="M58" s="24">
        <f t="shared" si="36"/>
        <v>9.5289958499143221E-2</v>
      </c>
      <c r="O58" s="2"/>
      <c r="P58" s="2"/>
      <c r="Q58" s="2"/>
      <c r="R58" s="2"/>
      <c r="S58" s="2"/>
      <c r="T58" s="2"/>
      <c r="U58" s="56"/>
      <c r="V58" s="56"/>
      <c r="W58" s="109"/>
      <c r="X58" s="117"/>
      <c r="Y58" s="109"/>
      <c r="Z58" s="155">
        <f>Poor!Z58</f>
        <v>0.09</v>
      </c>
      <c r="AA58" s="146">
        <f>$H$58*$B$58*Z58</f>
        <v>1167.2316000000001</v>
      </c>
      <c r="AB58" s="155">
        <f>Poor!AB58</f>
        <v>0.09</v>
      </c>
      <c r="AC58" s="146">
        <f>$H$58*$B$58*AB58</f>
        <v>1167.2316000000001</v>
      </c>
      <c r="AD58" s="155">
        <f>Poor!AD58</f>
        <v>0.23</v>
      </c>
      <c r="AE58" s="146">
        <f>$H$58*$B$58*AD58</f>
        <v>2982.9252000000006</v>
      </c>
      <c r="AF58" s="155">
        <f>Poor!AF58</f>
        <v>0.59</v>
      </c>
      <c r="AG58" s="146">
        <f>$H$58*$B$58*AF58</f>
        <v>7651.8516000000009</v>
      </c>
      <c r="AH58" s="154">
        <f>SUM(Z58,AB58,AD58,AF58)</f>
        <v>1</v>
      </c>
      <c r="AI58" s="146">
        <f>SUM(AA58,AC58,AE58,AG58)</f>
        <v>12969.240000000002</v>
      </c>
      <c r="AJ58" s="147">
        <f>(AA58+AC58)</f>
        <v>2334.4632000000001</v>
      </c>
      <c r="AK58" s="146">
        <f>(AE58+AG58)</f>
        <v>10634.776800000001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3.5" customHeight="1">
      <c r="A59" s="109" t="s">
        <v>134</v>
      </c>
      <c r="B59" s="237">
        <f>[1]Summ!$H1033</f>
        <v>20808</v>
      </c>
      <c r="C59" s="39"/>
      <c r="D59" s="38"/>
      <c r="E59" s="75">
        <f>Poor!E59</f>
        <v>1</v>
      </c>
      <c r="F59" s="75">
        <f>Poor!F59</f>
        <v>1.1100000000000001</v>
      </c>
      <c r="G59" s="22"/>
      <c r="H59" s="24">
        <f>(E59*F59)</f>
        <v>1.1100000000000001</v>
      </c>
      <c r="I59" s="39">
        <f t="shared" ref="I59:I60" si="37">I108*I$70</f>
        <v>0</v>
      </c>
      <c r="J59" s="51">
        <f t="shared" ref="J59:J60" si="38">J108*I$70</f>
        <v>23096.880000000005</v>
      </c>
      <c r="K59" s="40">
        <f t="shared" si="34"/>
        <v>0.15288432139818306</v>
      </c>
      <c r="L59" s="22">
        <f t="shared" si="35"/>
        <v>0.16970159675198321</v>
      </c>
      <c r="M59" s="24">
        <f t="shared" si="36"/>
        <v>0.16970159675198324</v>
      </c>
      <c r="O59" s="2"/>
      <c r="P59" s="2"/>
      <c r="Q59" s="2"/>
      <c r="R59" s="2"/>
      <c r="S59" s="2"/>
      <c r="T59" s="2"/>
      <c r="U59" s="56"/>
      <c r="V59" s="56"/>
      <c r="W59" s="109"/>
      <c r="X59" s="117"/>
      <c r="Y59" s="109"/>
      <c r="Z59" s="155"/>
      <c r="AA59" s="146"/>
      <c r="AB59" s="155"/>
      <c r="AC59" s="146"/>
      <c r="AD59" s="155"/>
      <c r="AE59" s="146"/>
      <c r="AF59" s="155"/>
      <c r="AG59" s="146"/>
      <c r="AH59" s="154"/>
      <c r="AI59" s="146"/>
      <c r="AJ59" s="147"/>
      <c r="AK59" s="146"/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3.5" customHeight="1">
      <c r="A60" s="109" t="s">
        <v>135</v>
      </c>
      <c r="B60" s="237">
        <f>[1]Summ!$H1034</f>
        <v>23260</v>
      </c>
      <c r="C60" s="39"/>
      <c r="D60" s="38"/>
      <c r="E60" s="75">
        <f>Poor!E60</f>
        <v>1</v>
      </c>
      <c r="F60" s="75">
        <f>Poor!F60</f>
        <v>1.1100000000000001</v>
      </c>
      <c r="G60" s="22"/>
      <c r="H60" s="24">
        <f>(E60*F60)</f>
        <v>1.1100000000000001</v>
      </c>
      <c r="I60" s="39">
        <f t="shared" si="37"/>
        <v>0</v>
      </c>
      <c r="J60" s="51">
        <f t="shared" si="38"/>
        <v>25818.600000000006</v>
      </c>
      <c r="K60" s="40">
        <f t="shared" si="34"/>
        <v>0.17090010167828421</v>
      </c>
      <c r="L60" s="22">
        <f t="shared" si="35"/>
        <v>0.18969911286289554</v>
      </c>
      <c r="M60" s="24">
        <f t="shared" si="36"/>
        <v>0.18969911286289554</v>
      </c>
      <c r="O60" s="2"/>
      <c r="P60" s="2"/>
      <c r="Q60" s="2"/>
      <c r="R60" s="2"/>
      <c r="S60" s="2"/>
      <c r="T60" s="2"/>
      <c r="U60" s="56"/>
      <c r="V60" s="56"/>
      <c r="W60" s="109"/>
      <c r="X60" s="117"/>
      <c r="Y60" s="109"/>
      <c r="Z60" s="155"/>
      <c r="AA60" s="146"/>
      <c r="AB60" s="155"/>
      <c r="AC60" s="146"/>
      <c r="AD60" s="155"/>
      <c r="AE60" s="146"/>
      <c r="AF60" s="155"/>
      <c r="AG60" s="146"/>
      <c r="AH60" s="154"/>
      <c r="AI60" s="146"/>
      <c r="AJ60" s="147"/>
      <c r="AK60" s="146"/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1" t="s">
        <v>141</v>
      </c>
      <c r="B61" s="52">
        <f>B22*B70</f>
        <v>4387.4254143646413</v>
      </c>
      <c r="C61" s="39"/>
      <c r="D61" s="38"/>
      <c r="E61" s="32"/>
      <c r="F61" s="32"/>
      <c r="G61" s="32"/>
      <c r="H61" s="31"/>
      <c r="I61" s="39">
        <f>I110*I$70</f>
        <v>123889.51066344643</v>
      </c>
      <c r="J61" s="51">
        <f>J110*I$70</f>
        <v>4975.8608753525878</v>
      </c>
      <c r="K61" s="40">
        <f t="shared" si="34"/>
        <v>3.2236089828925431E-2</v>
      </c>
      <c r="L61" s="22">
        <f t="shared" si="35"/>
        <v>3.4592212245860197E-2</v>
      </c>
      <c r="M61" s="24">
        <f t="shared" si="36"/>
        <v>3.6559549851021222E-2</v>
      </c>
      <c r="O61" s="2"/>
      <c r="P61" s="2"/>
      <c r="Q61" s="2"/>
      <c r="R61" s="2"/>
      <c r="S61" s="2"/>
      <c r="T61" s="2"/>
      <c r="U61" s="56"/>
      <c r="V61" s="56"/>
      <c r="W61" s="109"/>
      <c r="X61" s="117"/>
      <c r="Y61" s="109"/>
      <c r="Z61" s="155"/>
      <c r="AA61" s="146">
        <f>AA22*$I$70/4</f>
        <v>-4.2492543371666003E-13</v>
      </c>
      <c r="AB61" s="155"/>
      <c r="AC61" s="146">
        <f>AC22*$I$70/4</f>
        <v>-4.2492543371666003E-13</v>
      </c>
      <c r="AD61" s="155"/>
      <c r="AE61" s="146">
        <f>AE22*$I$70/4</f>
        <v>392.57173240869071</v>
      </c>
      <c r="AF61" s="155"/>
      <c r="AG61" s="146">
        <f>AG22*$I$70/4</f>
        <v>999.83620148322314</v>
      </c>
      <c r="AH61" s="154"/>
      <c r="AI61" s="146">
        <f>SUM(AA61,AC61,AE61,AG61)</f>
        <v>1392.407933891913</v>
      </c>
      <c r="AJ61" s="147">
        <f>(AA61+AC61)</f>
        <v>-8.4985086743332007E-13</v>
      </c>
      <c r="AK61" s="146">
        <f>(AE61+AG61)</f>
        <v>1392.4079338919139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1" t="s">
        <v>56</v>
      </c>
      <c r="B62" s="52">
        <f>B63-B57-B58-B59-B60-B61</f>
        <v>60734.313848986771</v>
      </c>
      <c r="C62" s="39"/>
      <c r="D62" s="38"/>
      <c r="E62" s="32"/>
      <c r="F62" s="32"/>
      <c r="G62" s="32"/>
      <c r="H62" s="31"/>
      <c r="I62" s="47"/>
      <c r="J62" s="51">
        <f>J111*I$70</f>
        <v>62624.551222803973</v>
      </c>
      <c r="K62" s="40">
        <f t="shared" si="34"/>
        <v>0.446238194847492</v>
      </c>
      <c r="L62" s="22">
        <f t="shared" si="35"/>
        <v>0.46373390024654693</v>
      </c>
      <c r="M62" s="24">
        <f t="shared" si="36"/>
        <v>0.46012649060765765</v>
      </c>
      <c r="O62" s="2"/>
      <c r="P62" s="2"/>
      <c r="Q62" s="2"/>
      <c r="R62" s="2"/>
      <c r="S62" s="2"/>
      <c r="T62" s="2"/>
      <c r="U62" s="56"/>
      <c r="V62" s="56"/>
      <c r="W62" s="109"/>
      <c r="X62" s="156"/>
      <c r="Y62" s="160" t="s">
        <v>105</v>
      </c>
      <c r="Z62" s="157"/>
      <c r="AA62" s="148">
        <f>AA66-AA61</f>
        <v>29441.185746570995</v>
      </c>
      <c r="AB62" s="157"/>
      <c r="AC62" s="148">
        <f>AA62+AC52-SUM(AC57,AC61)</f>
        <v>58701.302743141991</v>
      </c>
      <c r="AD62" s="157"/>
      <c r="AE62" s="148">
        <f>AC62+AE52-SUM(AE57,AE61)</f>
        <v>87930.9855073043</v>
      </c>
      <c r="AF62" s="157"/>
      <c r="AG62" s="148">
        <f>IF(SUM(AG6:AG21)+((AG52-AG57-$J$62)*4/I$70)&lt;1,0,AG52-AG57-$J$62-(1-SUM(AG6:AG21))*I$70/4)</f>
        <v>0</v>
      </c>
      <c r="AH62" s="133"/>
      <c r="AI62" s="148">
        <f>AI63-SUM(AI57,AI61)</f>
        <v>128092.72416426465</v>
      </c>
      <c r="AJ62" s="150">
        <f>AJ63-SUM(AJ57,AJ61)</f>
        <v>58701.302743141983</v>
      </c>
      <c r="AK62" s="148">
        <f>AJ62+AK63-SUM(AK57,AK61)</f>
        <v>128092.72416426464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 thickBot="1">
      <c r="A63" s="1" t="s">
        <v>32</v>
      </c>
      <c r="B63" s="52">
        <f>B52</f>
        <v>136102.90322580645</v>
      </c>
      <c r="C63" s="39"/>
      <c r="D63" s="38"/>
      <c r="E63" s="32"/>
      <c r="F63" s="32"/>
      <c r="G63" s="32"/>
      <c r="H63" s="31"/>
      <c r="I63" s="39">
        <f>I112*I$70</f>
        <v>154219.9975806452</v>
      </c>
      <c r="J63" s="51">
        <f>J112*I$70</f>
        <v>146846.37901535531</v>
      </c>
      <c r="K63" s="40">
        <f>SUM(K57:K62)</f>
        <v>1</v>
      </c>
      <c r="L63" s="22">
        <f>SUM(L57:L62)</f>
        <v>1.0805764909852367</v>
      </c>
      <c r="M63" s="24">
        <f>SUM(M57:M62)</f>
        <v>1.0789364189515085</v>
      </c>
      <c r="O63" s="2"/>
      <c r="P63" s="2"/>
      <c r="Q63" s="2"/>
      <c r="R63" s="2"/>
      <c r="S63" s="2"/>
      <c r="T63" s="2"/>
      <c r="U63" s="56"/>
      <c r="V63" s="56"/>
      <c r="W63" s="109"/>
      <c r="X63" s="190"/>
      <c r="Y63" s="190"/>
      <c r="Z63" s="136"/>
      <c r="AA63" s="153">
        <f>AA52</f>
        <v>33781.497475870681</v>
      </c>
      <c r="AB63" s="136"/>
      <c r="AC63" s="152">
        <f>AC52</f>
        <v>33600.428725870683</v>
      </c>
      <c r="AD63" s="136"/>
      <c r="AE63" s="152">
        <f>AE52</f>
        <v>33962.566225870687</v>
      </c>
      <c r="AF63" s="136"/>
      <c r="AG63" s="152">
        <f>AG52</f>
        <v>45501.886587743254</v>
      </c>
      <c r="AH63" s="136"/>
      <c r="AI63" s="152">
        <f>SUM(AA63,AC63,AE63,AG63)</f>
        <v>146846.37901535531</v>
      </c>
      <c r="AJ63" s="153">
        <f>SUM(AA63,AC63)</f>
        <v>67381.926201741357</v>
      </c>
      <c r="AK63" s="153">
        <f>SUM(AE63,AG63)</f>
        <v>79464.452813613942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 thickBot="1">
      <c r="A64" s="98" t="s">
        <v>37</v>
      </c>
      <c r="B64" s="81"/>
      <c r="C64" s="39"/>
      <c r="D64" s="38"/>
      <c r="E64" s="32"/>
      <c r="F64" s="32"/>
      <c r="G64" s="32"/>
      <c r="H64" s="31"/>
      <c r="I64" s="39">
        <f>I113*I$70</f>
        <v>48915.479999999989</v>
      </c>
      <c r="J64" s="99">
        <f>J113*I$70</f>
        <v>0</v>
      </c>
      <c r="K64" s="40"/>
      <c r="L64" s="22">
        <f>-(L113*G$29*F$9/F$7)/B$112</f>
        <v>0</v>
      </c>
      <c r="M64" s="24">
        <f>-J64/B$63</f>
        <v>0</v>
      </c>
      <c r="O64" s="2"/>
      <c r="P64" s="2"/>
      <c r="Q64" s="2"/>
      <c r="R64" s="2"/>
      <c r="S64" s="2"/>
      <c r="T64" s="2"/>
      <c r="U64" s="56"/>
      <c r="V64" s="56"/>
      <c r="W64" s="109"/>
      <c r="X64" s="109"/>
      <c r="Y64" s="160" t="s">
        <v>103</v>
      </c>
      <c r="Z64" s="158"/>
      <c r="AA64" s="110">
        <f>AA23*$I$70/4</f>
        <v>0</v>
      </c>
      <c r="AB64" s="111"/>
      <c r="AC64" s="110">
        <f>AC23*$I$70/4</f>
        <v>0</v>
      </c>
      <c r="AD64" s="111"/>
      <c r="AE64" s="110">
        <f>AE23*$I$70/4</f>
        <v>0</v>
      </c>
      <c r="AF64" s="111"/>
      <c r="AG64" s="110">
        <f>AG23*$I$70/4</f>
        <v>0</v>
      </c>
      <c r="AH64" s="109"/>
      <c r="AI64" s="153">
        <f>SUM(AA64,AC64,AE64,AG64)</f>
        <v>0</v>
      </c>
      <c r="AJ64" s="152">
        <f>SUM(AA64,AC64)</f>
        <v>0</v>
      </c>
      <c r="AK64" s="159">
        <f>SUM(AE64,AG64)</f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82" t="s">
        <v>38</v>
      </c>
      <c r="B65" s="39"/>
      <c r="C65" s="39"/>
      <c r="D65" s="38"/>
      <c r="E65" s="32"/>
      <c r="F65" s="32"/>
      <c r="G65" s="32"/>
      <c r="H65" s="31"/>
      <c r="I65" s="47"/>
      <c r="J65" s="48"/>
      <c r="K65" s="32"/>
      <c r="L65" s="32"/>
      <c r="M65" s="48"/>
      <c r="N65" s="2"/>
      <c r="O65" s="2"/>
      <c r="P65" s="2"/>
      <c r="Q65" s="2"/>
      <c r="R65" s="2"/>
      <c r="S65" s="2"/>
      <c r="T65" s="2"/>
      <c r="U65" s="56"/>
      <c r="V65" s="56"/>
      <c r="W65" s="109"/>
      <c r="X65" s="109"/>
      <c r="Y65" s="160" t="s">
        <v>104</v>
      </c>
      <c r="Z65" s="109"/>
      <c r="AA65" s="111">
        <f>IF(SUM(AG6:AG21)+((AG52-AG57-$J$62)*4/I$70)&lt;1,0,AG52-AG57-$J$62-(1-SUM(AG6:AG21))*I$70/4)</f>
        <v>0</v>
      </c>
      <c r="AB65" s="111"/>
      <c r="AC65" s="111">
        <f>IF(AA62&lt;0,0,AA62)</f>
        <v>29441.185746570995</v>
      </c>
      <c r="AD65" s="111"/>
      <c r="AE65" s="111">
        <f>AC62</f>
        <v>58701.302743141991</v>
      </c>
      <c r="AF65" s="111"/>
      <c r="AG65" s="111">
        <f>AE62</f>
        <v>87930.9855073043</v>
      </c>
      <c r="AH65" s="109"/>
      <c r="AI65" s="145"/>
      <c r="AJ65" s="109"/>
      <c r="AK65" s="145"/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4" customHeight="1">
      <c r="A66" s="39" t="s">
        <v>39</v>
      </c>
      <c r="B66" s="234" t="str">
        <f>[1]Summ!$H1037</f>
        <v>maize</v>
      </c>
      <c r="C66" s="39"/>
      <c r="D66" s="38"/>
      <c r="E66" s="32"/>
      <c r="F66" s="32"/>
      <c r="G66" s="32"/>
      <c r="H66" s="31"/>
      <c r="I66" s="47"/>
      <c r="J66" s="48"/>
      <c r="K66" s="32"/>
      <c r="L66" s="32"/>
      <c r="M66" s="48"/>
      <c r="N66" s="32"/>
      <c r="O66" s="2"/>
      <c r="P66" s="2"/>
      <c r="Q66" s="2"/>
      <c r="R66" s="2"/>
      <c r="S66" s="2"/>
      <c r="T66" s="2"/>
      <c r="U66" s="56"/>
      <c r="V66" s="56"/>
      <c r="W66" s="109"/>
      <c r="X66" s="109"/>
      <c r="Y66" s="160" t="s">
        <v>64</v>
      </c>
      <c r="Z66" s="109"/>
      <c r="AA66" s="111">
        <f>AA52-AA57+IF(SUM(AG6:AG21)+((AG52-AG57-$J$62)*4/I$70)&lt;1,0,AG52-AG57-$J$62-(1-SUM(AG6:AG21))*I$70/4)</f>
        <v>29441.185746570995</v>
      </c>
      <c r="AB66" s="111"/>
      <c r="AC66" s="111">
        <f>AA66-AA61+AC52-AC57</f>
        <v>58701.302743141991</v>
      </c>
      <c r="AD66" s="111"/>
      <c r="AE66" s="111">
        <f>AC66-AC61+AE52-AE57</f>
        <v>88323.557239712987</v>
      </c>
      <c r="AF66" s="111"/>
      <c r="AG66" s="111">
        <f>AE66-AE61+AG52-AG57</f>
        <v>129092.56036574786</v>
      </c>
      <c r="AH66" s="109"/>
      <c r="AI66" s="145"/>
      <c r="AJ66" s="109"/>
      <c r="AK66" s="145"/>
      <c r="AS66" s="25"/>
      <c r="AT66" s="25"/>
      <c r="AU66" s="25"/>
      <c r="AV66" s="25"/>
      <c r="AW66" s="25"/>
      <c r="AX66" s="25"/>
      <c r="AZ66" s="25"/>
      <c r="BA66" s="25"/>
      <c r="BB66" s="25"/>
      <c r="BC66" s="25"/>
      <c r="BD66" s="25"/>
      <c r="BE66" s="25"/>
      <c r="BI66" s="25"/>
      <c r="BJ66" s="25"/>
      <c r="BK66" s="25"/>
      <c r="BL66" s="25"/>
      <c r="BM66" s="25"/>
      <c r="BN66" s="25"/>
      <c r="BP66" s="25"/>
      <c r="BQ66" s="25"/>
      <c r="BR66" s="25"/>
      <c r="BS66" s="25"/>
      <c r="BT66" s="25"/>
      <c r="BU66" s="25"/>
      <c r="BX66" s="25"/>
      <c r="BY66" s="25"/>
      <c r="BZ66" s="25"/>
      <c r="CA66" s="25"/>
      <c r="CB66" s="25"/>
      <c r="CC66" s="25"/>
      <c r="CE66" s="25"/>
      <c r="CF66" s="25"/>
      <c r="CG66" s="25"/>
      <c r="CH66" s="25"/>
      <c r="CI66" s="25"/>
      <c r="CJ66" s="25"/>
    </row>
    <row r="67" spans="1:88" ht="14" customHeight="1">
      <c r="A67" s="39" t="s">
        <v>40</v>
      </c>
      <c r="B67" s="234">
        <f>[1]Summ!$H1038</f>
        <v>0.58061985920496251</v>
      </c>
      <c r="C67" s="39"/>
      <c r="D67" s="38"/>
      <c r="E67" s="32"/>
      <c r="F67" s="32"/>
      <c r="G67" s="32"/>
      <c r="H67" s="31"/>
      <c r="I67" s="47"/>
      <c r="J67" s="48"/>
      <c r="K67" s="32"/>
      <c r="L67" s="32"/>
      <c r="M67" s="48"/>
      <c r="N67" s="32"/>
      <c r="O67" s="2"/>
      <c r="P67" s="2"/>
      <c r="Q67" s="2"/>
      <c r="R67" s="2"/>
      <c r="S67" s="2"/>
      <c r="T67" s="2"/>
      <c r="U67" s="56"/>
      <c r="V67" s="56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45"/>
      <c r="AJ67" s="109"/>
      <c r="AK67" s="145"/>
      <c r="AS67" s="25"/>
      <c r="AT67" s="25"/>
      <c r="AU67" s="25"/>
      <c r="AV67" s="25"/>
      <c r="AW67" s="25"/>
      <c r="AX67" s="25"/>
      <c r="AZ67" s="25"/>
      <c r="BA67" s="25"/>
      <c r="BB67" s="25"/>
      <c r="BC67" s="25"/>
      <c r="BD67" s="25"/>
      <c r="BE67" s="25"/>
      <c r="BI67" s="25"/>
      <c r="BJ67" s="25"/>
      <c r="BK67" s="25"/>
      <c r="BL67" s="25"/>
      <c r="BM67" s="25"/>
      <c r="BN67" s="25"/>
      <c r="BP67" s="25"/>
      <c r="BQ67" s="25"/>
      <c r="BR67" s="25"/>
      <c r="BS67" s="25"/>
      <c r="BT67" s="25"/>
      <c r="BU67" s="25"/>
      <c r="BX67" s="25"/>
      <c r="BY67" s="25"/>
      <c r="BZ67" s="25"/>
      <c r="CA67" s="25"/>
      <c r="CB67" s="25"/>
      <c r="CC67" s="25"/>
      <c r="CE67" s="25"/>
      <c r="CF67" s="25"/>
      <c r="CG67" s="25"/>
      <c r="CH67" s="25"/>
      <c r="CI67" s="25"/>
      <c r="CJ67" s="25"/>
    </row>
    <row r="68" spans="1:88" ht="14" customHeight="1">
      <c r="A68" s="39" t="s">
        <v>41</v>
      </c>
      <c r="B68" s="234">
        <f>[1]Summ!$H1039</f>
        <v>6</v>
      </c>
      <c r="C68" s="39"/>
      <c r="D68" s="38"/>
      <c r="E68" s="32"/>
      <c r="F68" s="32"/>
      <c r="G68" s="32"/>
      <c r="H68" s="31"/>
      <c r="I68" s="47"/>
      <c r="J68" s="48"/>
      <c r="K68" s="32"/>
      <c r="L68" s="32"/>
      <c r="M68" s="48"/>
      <c r="N68" s="32"/>
      <c r="O68" s="2"/>
      <c r="P68" s="2"/>
      <c r="Q68" s="2"/>
      <c r="R68" s="2"/>
      <c r="S68" s="2"/>
      <c r="T68" s="2"/>
      <c r="U68" s="56"/>
      <c r="V68" s="56"/>
      <c r="W68" s="109"/>
      <c r="X68" s="109"/>
      <c r="Y68" s="109"/>
      <c r="Z68" s="142" t="s">
        <v>65</v>
      </c>
      <c r="AA68" s="158"/>
      <c r="AB68" s="158"/>
      <c r="AC68" s="158"/>
      <c r="AD68" s="158"/>
      <c r="AE68" s="158"/>
      <c r="AF68" s="158"/>
      <c r="AG68" s="143"/>
      <c r="AH68" s="113" t="s">
        <v>66</v>
      </c>
      <c r="AI68" s="145"/>
      <c r="AJ68" s="109"/>
      <c r="AK68" s="145"/>
      <c r="AS68" s="25"/>
      <c r="AT68" s="25"/>
      <c r="AU68" s="25"/>
      <c r="AV68" s="25"/>
      <c r="AW68" s="25"/>
      <c r="AX68" s="25"/>
      <c r="AZ68" s="25"/>
      <c r="BA68" s="25"/>
      <c r="BB68" s="25"/>
      <c r="BC68" s="25"/>
      <c r="BD68" s="25"/>
      <c r="BE68" s="25"/>
      <c r="BI68" s="25"/>
      <c r="BJ68" s="25"/>
      <c r="BK68" s="25"/>
      <c r="BL68" s="25"/>
      <c r="BM68" s="25"/>
      <c r="BN68" s="25"/>
      <c r="BP68" s="25"/>
      <c r="BQ68" s="25"/>
      <c r="BR68" s="25"/>
      <c r="BS68" s="25"/>
      <c r="BT68" s="25"/>
      <c r="BU68" s="25"/>
      <c r="BX68" s="25"/>
      <c r="BY68" s="25"/>
      <c r="BZ68" s="25"/>
      <c r="CA68" s="25"/>
      <c r="CB68" s="25"/>
      <c r="CC68" s="25"/>
      <c r="CE68" s="25"/>
      <c r="CF68" s="25"/>
      <c r="CG68" s="25"/>
      <c r="CH68" s="25"/>
      <c r="CI68" s="25"/>
      <c r="CJ68" s="25"/>
    </row>
    <row r="69" spans="1:88" ht="14" customHeight="1">
      <c r="A69" s="39" t="s">
        <v>42</v>
      </c>
      <c r="B69" s="234">
        <f>[1]Summ!$H1040</f>
        <v>5.375</v>
      </c>
      <c r="C69" s="39"/>
      <c r="D69" s="38"/>
      <c r="E69" s="32"/>
      <c r="F69" s="32"/>
      <c r="G69" s="32"/>
      <c r="H69" s="31"/>
      <c r="I69" s="47"/>
      <c r="J69" s="48"/>
      <c r="K69" s="32"/>
      <c r="L69" s="32"/>
      <c r="M69" s="48"/>
      <c r="N69" s="32"/>
      <c r="O69" s="2"/>
      <c r="P69" s="2"/>
      <c r="Q69" s="2"/>
      <c r="R69" s="2"/>
      <c r="S69" s="2"/>
      <c r="T69" s="2"/>
      <c r="U69" s="56"/>
      <c r="V69" s="56"/>
      <c r="X69" s="109"/>
      <c r="Y69" s="160" t="s">
        <v>67</v>
      </c>
      <c r="Z69" s="161">
        <f>IF($AH$69=0,0,AA69/$AH$69)</f>
        <v>1</v>
      </c>
      <c r="AA69" s="194">
        <f>Poor!AA69</f>
        <v>6.0200000000000005</v>
      </c>
      <c r="AB69" s="161">
        <f>IF($AH$69=0,0,AC69/$AH$69)</f>
        <v>1</v>
      </c>
      <c r="AC69" s="194">
        <f>Poor!AC69</f>
        <v>6.0200000000000005</v>
      </c>
      <c r="AD69" s="161">
        <f>IF($AH$69=0,0,AE69/$AH$69)</f>
        <v>1</v>
      </c>
      <c r="AE69" s="194">
        <f>Poor!AE69</f>
        <v>6.0200000000000005</v>
      </c>
      <c r="AF69" s="161">
        <f>IF($AH$69=0,0,AG69/$AH$69)</f>
        <v>1</v>
      </c>
      <c r="AG69" s="194">
        <f>Poor!AG69</f>
        <v>6.0200000000000005</v>
      </c>
      <c r="AH69" s="163">
        <f>IF(PRODUCT(AA69,AC69,AE69,AG69)=0,0,SUM(AA69,AC69,AE69,AG69)/4)</f>
        <v>6.0200000000000005</v>
      </c>
      <c r="AI69" s="145"/>
      <c r="AJ69" s="109"/>
      <c r="AK69" s="145"/>
      <c r="AS69" s="25"/>
      <c r="AT69" s="25"/>
      <c r="AU69" s="25"/>
      <c r="AV69" s="25"/>
      <c r="AW69" s="25"/>
      <c r="AX69" s="25"/>
      <c r="AZ69" s="25"/>
      <c r="BA69" s="25"/>
      <c r="BB69" s="25"/>
      <c r="BC69" s="25"/>
      <c r="BD69" s="25"/>
      <c r="BE69" s="25"/>
      <c r="BI69" s="25"/>
      <c r="BJ69" s="25"/>
      <c r="BK69" s="25"/>
      <c r="BL69" s="25"/>
      <c r="BM69" s="25"/>
      <c r="BN69" s="25"/>
      <c r="BP69" s="25"/>
      <c r="BQ69" s="25"/>
      <c r="BR69" s="25"/>
      <c r="BS69" s="25"/>
      <c r="BT69" s="25"/>
      <c r="BU69" s="25"/>
      <c r="BX69" s="25"/>
      <c r="BY69" s="25"/>
      <c r="BZ69" s="25"/>
      <c r="CA69" s="25"/>
      <c r="CB69" s="25"/>
      <c r="CC69" s="25"/>
      <c r="CE69" s="25"/>
      <c r="CF69" s="25"/>
      <c r="CG69" s="25"/>
      <c r="CH69" s="25"/>
      <c r="CI69" s="25"/>
      <c r="CJ69" s="25"/>
    </row>
    <row r="70" spans="1:88" ht="14" customHeight="1">
      <c r="A70" s="39" t="s">
        <v>43</v>
      </c>
      <c r="B70" s="39">
        <f>365*B67*B68*B69</f>
        <v>6834.6215176664155</v>
      </c>
      <c r="C70" s="39"/>
      <c r="D70" s="38"/>
      <c r="E70" s="32"/>
      <c r="F70" s="32"/>
      <c r="G70" s="32"/>
      <c r="H70" s="24">
        <f>G$29*F$9/F$7</f>
        <v>1.1200000000000001</v>
      </c>
      <c r="I70" s="39">
        <f xml:space="preserve"> B70*H70</f>
        <v>7654.7760997863861</v>
      </c>
      <c r="J70" s="48"/>
      <c r="K70" s="32"/>
      <c r="L70" s="32"/>
      <c r="M70" s="48"/>
      <c r="N70" s="32"/>
      <c r="O70" s="2"/>
      <c r="P70" s="2"/>
      <c r="Q70" s="2"/>
      <c r="R70" s="2"/>
      <c r="S70" s="2"/>
      <c r="T70" s="2"/>
      <c r="U70" s="56"/>
      <c r="V70" s="56"/>
      <c r="X70" s="109"/>
      <c r="Y70" s="160" t="s">
        <v>131</v>
      </c>
      <c r="Z70" s="109"/>
      <c r="AA70" s="164">
        <f>$I$70*Z69/4</f>
        <v>1913.6940249465965</v>
      </c>
      <c r="AB70" s="111"/>
      <c r="AC70" s="164">
        <f>$I$70*AB69/4</f>
        <v>1913.6940249465965</v>
      </c>
      <c r="AD70" s="111"/>
      <c r="AE70" s="164">
        <f>$I$70*AD69/4</f>
        <v>1913.6940249465965</v>
      </c>
      <c r="AF70" s="111"/>
      <c r="AG70" s="164">
        <f>$I$70*AF69/4</f>
        <v>1913.6940249465965</v>
      </c>
      <c r="AH70" s="164">
        <f>SUM(AA70,AC70,AE70,AG70)</f>
        <v>7654.7760997863861</v>
      </c>
      <c r="AI70" s="145"/>
      <c r="AJ70" s="109"/>
      <c r="AK70" s="145"/>
      <c r="AS70" s="25"/>
      <c r="AT70" s="25"/>
      <c r="AU70" s="25"/>
      <c r="AV70" s="25"/>
      <c r="AW70" s="25"/>
      <c r="AX70" s="25"/>
      <c r="AZ70" s="25"/>
      <c r="BA70" s="25"/>
      <c r="BB70" s="25"/>
      <c r="BC70" s="25"/>
      <c r="BD70" s="25"/>
      <c r="BE70" s="25"/>
      <c r="BI70" s="25"/>
      <c r="BJ70" s="25"/>
      <c r="BK70" s="25"/>
      <c r="BL70" s="25"/>
      <c r="BM70" s="25"/>
      <c r="BN70" s="25"/>
      <c r="BP70" s="25"/>
      <c r="BQ70" s="25"/>
      <c r="BR70" s="25"/>
      <c r="BS70" s="25"/>
      <c r="BT70" s="25"/>
      <c r="BU70" s="25"/>
      <c r="BX70" s="25"/>
      <c r="BY70" s="25"/>
      <c r="BZ70" s="25"/>
      <c r="CA70" s="25"/>
      <c r="CB70" s="25"/>
      <c r="CC70" s="25"/>
      <c r="CE70" s="25"/>
      <c r="CF70" s="25"/>
      <c r="CG70" s="25"/>
      <c r="CH70" s="25"/>
      <c r="CI70" s="25"/>
      <c r="CJ70" s="25"/>
    </row>
    <row r="71" spans="1:88" ht="14" customHeight="1" thickBot="1">
      <c r="A71" s="46" t="s">
        <v>142</v>
      </c>
      <c r="B71" s="246">
        <f>B57+((1-D21)*B70)</f>
        <v>19249.362863939343</v>
      </c>
      <c r="C71" s="46"/>
      <c r="D71" s="38"/>
      <c r="E71" s="32"/>
      <c r="F71" s="32"/>
      <c r="G71" s="32"/>
      <c r="H71" s="248">
        <f>IF(B71=0,0,I71/B71)</f>
        <v>1.1358230317232829</v>
      </c>
      <c r="I71" s="247">
        <f>(B57*H57)+((1-(D21*H21))*I70)</f>
        <v>21863.869686861162</v>
      </c>
      <c r="J71" s="48"/>
      <c r="K71" s="32"/>
      <c r="L71" s="32"/>
      <c r="M71" s="48"/>
      <c r="N71" s="32"/>
      <c r="O71" s="2"/>
      <c r="P71" s="2"/>
      <c r="Q71" s="2"/>
      <c r="R71" s="2"/>
      <c r="S71" s="2"/>
      <c r="T71" s="2"/>
      <c r="U71" s="56"/>
      <c r="V71" s="56"/>
      <c r="X71" s="109"/>
      <c r="Y71" s="160"/>
      <c r="Z71" s="109"/>
      <c r="AA71" s="109"/>
      <c r="AB71" s="109"/>
      <c r="AC71" s="109"/>
      <c r="AD71" s="109"/>
      <c r="AE71" s="109"/>
      <c r="AF71" s="109"/>
      <c r="AG71" s="109"/>
      <c r="AH71" s="109"/>
      <c r="AI71" s="145"/>
      <c r="AJ71" s="109"/>
      <c r="AK71" s="145"/>
      <c r="AS71" s="25"/>
      <c r="AT71" s="25"/>
      <c r="AU71" s="25"/>
      <c r="AV71" s="25"/>
      <c r="AW71" s="25"/>
      <c r="AX71" s="25"/>
      <c r="AZ71" s="25"/>
      <c r="BA71" s="25"/>
      <c r="BB71" s="25"/>
      <c r="BC71" s="25"/>
      <c r="BD71" s="25"/>
      <c r="BE71" s="25"/>
      <c r="BI71" s="25"/>
      <c r="BJ71" s="25"/>
      <c r="BK71" s="25"/>
      <c r="BL71" s="25"/>
      <c r="BM71" s="25"/>
      <c r="BN71" s="25"/>
      <c r="BP71" s="25"/>
      <c r="BQ71" s="25"/>
      <c r="BR71" s="25"/>
      <c r="BS71" s="25"/>
      <c r="BT71" s="25"/>
      <c r="BU71" s="25"/>
      <c r="BX71" s="25"/>
      <c r="BY71" s="25"/>
      <c r="BZ71" s="25"/>
      <c r="CA71" s="25"/>
      <c r="CB71" s="25"/>
      <c r="CC71" s="25"/>
      <c r="CE71" s="25"/>
      <c r="CF71" s="25"/>
      <c r="CG71" s="25"/>
      <c r="CH71" s="25"/>
      <c r="CI71" s="25"/>
      <c r="CJ71" s="25"/>
    </row>
    <row r="72" spans="1:88" ht="14" customHeight="1" thickBot="1">
      <c r="A72" s="39" t="s">
        <v>44</v>
      </c>
      <c r="B72" s="39"/>
      <c r="C72" s="39"/>
      <c r="D72" s="38"/>
      <c r="E72" s="32"/>
      <c r="F72" s="32"/>
      <c r="G72" s="32"/>
      <c r="H72" s="31"/>
      <c r="I72" s="47"/>
      <c r="J72" s="48"/>
      <c r="K72" s="32"/>
      <c r="L72" s="32"/>
      <c r="M72" s="48"/>
      <c r="N72" s="32"/>
      <c r="O72" s="2"/>
      <c r="P72" s="2"/>
      <c r="Q72" s="2"/>
      <c r="R72" s="2"/>
      <c r="S72" s="2"/>
      <c r="T72" s="2"/>
      <c r="U72" s="56"/>
      <c r="V72" s="56"/>
      <c r="X72" s="109"/>
      <c r="Y72" s="160"/>
      <c r="Z72" s="109"/>
      <c r="AA72" s="112"/>
      <c r="AB72" s="109"/>
      <c r="AC72" s="112"/>
      <c r="AD72" s="109"/>
      <c r="AE72" s="112"/>
      <c r="AF72" s="109"/>
      <c r="AG72" s="112"/>
      <c r="AH72" s="109"/>
      <c r="AI72" s="191"/>
      <c r="AJ72" s="192"/>
      <c r="AK72" s="193"/>
      <c r="AS72" s="25"/>
      <c r="AT72" s="25"/>
      <c r="AU72" s="25"/>
      <c r="AV72" s="25"/>
      <c r="AW72" s="25"/>
      <c r="AX72" s="25"/>
      <c r="AZ72" s="25"/>
      <c r="BA72" s="25"/>
      <c r="BB72" s="25"/>
      <c r="BC72" s="25"/>
      <c r="BD72" s="25"/>
      <c r="BE72" s="25"/>
      <c r="BI72" s="25"/>
      <c r="BJ72" s="25"/>
      <c r="BK72" s="25"/>
      <c r="BL72" s="25"/>
      <c r="BM72" s="25"/>
      <c r="BN72" s="25"/>
      <c r="BP72" s="25"/>
      <c r="BQ72" s="25"/>
      <c r="BR72" s="25"/>
      <c r="BS72" s="25"/>
      <c r="BT72" s="25"/>
      <c r="BU72" s="25"/>
      <c r="BX72" s="25"/>
      <c r="BY72" s="25"/>
      <c r="BZ72" s="25"/>
      <c r="CA72" s="25"/>
      <c r="CB72" s="25"/>
      <c r="CC72" s="25"/>
      <c r="CE72" s="25"/>
      <c r="CF72" s="25"/>
      <c r="CG72" s="25"/>
      <c r="CH72" s="25"/>
      <c r="CI72" s="25"/>
      <c r="CJ72" s="25"/>
    </row>
    <row r="73" spans="1:88" ht="14" customHeight="1">
      <c r="A73" s="105"/>
      <c r="B73" s="106"/>
      <c r="C73" s="39"/>
      <c r="D73" s="38"/>
      <c r="E73" s="32"/>
      <c r="F73" s="32"/>
      <c r="G73" s="32"/>
      <c r="H73" s="31"/>
      <c r="I73" s="47"/>
      <c r="J73" s="48"/>
      <c r="K73" s="32"/>
      <c r="L73" s="32"/>
      <c r="M73" s="48"/>
      <c r="N73" s="3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S73" s="25"/>
      <c r="AT73" s="25"/>
      <c r="AU73" s="25"/>
      <c r="AV73" s="25"/>
      <c r="AW73" s="25"/>
      <c r="AX73" s="25"/>
      <c r="AZ73" s="25"/>
      <c r="BA73" s="25"/>
      <c r="BB73" s="25"/>
      <c r="BC73" s="25"/>
      <c r="BD73" s="25"/>
      <c r="BE73" s="25"/>
      <c r="BI73" s="25"/>
      <c r="BJ73" s="25"/>
      <c r="BK73" s="25"/>
      <c r="BL73" s="25"/>
      <c r="BM73" s="25"/>
      <c r="BN73" s="25"/>
      <c r="BP73" s="25"/>
      <c r="BQ73" s="25"/>
      <c r="BR73" s="25"/>
      <c r="BS73" s="25"/>
      <c r="BT73" s="25"/>
      <c r="BU73" s="25"/>
      <c r="BX73" s="25"/>
      <c r="BY73" s="25"/>
      <c r="BZ73" s="25"/>
      <c r="CA73" s="25"/>
      <c r="CB73" s="25"/>
      <c r="CC73" s="25"/>
      <c r="CE73" s="25"/>
      <c r="CF73" s="25"/>
      <c r="CG73" s="25"/>
      <c r="CH73" s="25"/>
      <c r="CI73" s="25"/>
      <c r="CJ73" s="25"/>
    </row>
    <row r="74" spans="1:88" ht="14" customHeight="1">
      <c r="A74" s="39" t="s">
        <v>124</v>
      </c>
      <c r="B74" s="75">
        <f>[1]Summ!$J$815</f>
        <v>0</v>
      </c>
      <c r="C74" s="14"/>
      <c r="D74" s="12"/>
      <c r="E74" s="14"/>
      <c r="F74" s="14"/>
      <c r="G74" s="14"/>
      <c r="H74" s="12"/>
      <c r="I74" s="14"/>
      <c r="J74" s="12"/>
      <c r="K74" s="14"/>
      <c r="L74" s="14"/>
      <c r="M74" s="10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S74" s="25"/>
      <c r="AT74" s="25"/>
      <c r="AU74" s="25"/>
      <c r="AV74" s="25"/>
      <c r="AW74" s="25"/>
      <c r="AX74" s="25"/>
      <c r="AZ74" s="25"/>
      <c r="BA74" s="25"/>
      <c r="BB74" s="25"/>
      <c r="BC74" s="25"/>
      <c r="BD74" s="25"/>
      <c r="BE74" s="25"/>
      <c r="BI74" s="25"/>
      <c r="BJ74" s="25"/>
      <c r="BK74" s="25"/>
      <c r="BL74" s="25"/>
      <c r="BM74" s="25"/>
      <c r="BN74" s="25"/>
      <c r="BP74" s="25"/>
      <c r="BQ74" s="25"/>
      <c r="BR74" s="25"/>
      <c r="BS74" s="25"/>
      <c r="BT74" s="25"/>
      <c r="BU74" s="25"/>
      <c r="BX74" s="25"/>
      <c r="BY74" s="25"/>
      <c r="BZ74" s="25"/>
      <c r="CA74" s="25"/>
      <c r="CB74" s="25"/>
      <c r="CC74" s="25"/>
      <c r="CE74" s="25"/>
      <c r="CF74" s="25"/>
      <c r="CG74" s="25"/>
      <c r="CH74" s="25"/>
      <c r="CI74" s="25"/>
      <c r="CJ74" s="25"/>
    </row>
    <row r="75" spans="1:88" ht="15.75" customHeight="1">
      <c r="A75" s="73" t="str">
        <f>A26</f>
        <v>Income : Middle HHs</v>
      </c>
      <c r="B75" s="2"/>
      <c r="C75" s="2"/>
      <c r="D75" s="31"/>
      <c r="E75" s="2"/>
      <c r="F75" s="2"/>
      <c r="G75" s="2"/>
      <c r="H75" s="17"/>
      <c r="I75" s="2"/>
      <c r="J75" s="33"/>
      <c r="M75" s="57"/>
      <c r="N75" s="58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S75" s="25"/>
      <c r="AT75" s="25"/>
      <c r="AU75" s="25"/>
      <c r="AV75" s="25"/>
      <c r="AW75" s="25"/>
      <c r="AX75" s="25"/>
      <c r="AZ75" s="25"/>
      <c r="BA75" s="25"/>
      <c r="BB75" s="25"/>
      <c r="BC75" s="25"/>
      <c r="BD75" s="25"/>
      <c r="BE75" s="25"/>
      <c r="BI75" s="25"/>
      <c r="BJ75" s="25"/>
      <c r="BK75" s="25"/>
      <c r="BL75" s="25"/>
      <c r="BM75" s="25"/>
      <c r="BN75" s="25"/>
      <c r="BP75" s="25"/>
      <c r="BQ75" s="25"/>
      <c r="BR75" s="25"/>
      <c r="BS75" s="25"/>
      <c r="BT75" s="25"/>
      <c r="BU75" s="25"/>
      <c r="BX75" s="25"/>
      <c r="BY75" s="25"/>
      <c r="BZ75" s="25"/>
      <c r="CA75" s="25"/>
      <c r="CB75" s="25"/>
      <c r="CC75" s="25"/>
      <c r="CE75" s="25"/>
      <c r="CF75" s="25"/>
      <c r="CG75" s="25"/>
      <c r="CH75" s="25"/>
      <c r="CI75" s="25"/>
      <c r="CJ75" s="25"/>
    </row>
    <row r="76" spans="1:88" ht="14" customHeight="1">
      <c r="A76" s="2"/>
      <c r="B76" s="19" t="s">
        <v>7</v>
      </c>
      <c r="C76" s="19" t="s">
        <v>8</v>
      </c>
      <c r="D76" s="16" t="s">
        <v>9</v>
      </c>
      <c r="H76" s="16" t="s">
        <v>12</v>
      </c>
      <c r="I76" s="19" t="s">
        <v>13</v>
      </c>
      <c r="J76" s="16" t="s">
        <v>14</v>
      </c>
      <c r="K76" s="19" t="s">
        <v>7</v>
      </c>
      <c r="L76" s="19" t="s">
        <v>15</v>
      </c>
      <c r="M76" s="57" t="str">
        <f t="shared" ref="M76:M101" si="39">(J76)</f>
        <v>Curr.</v>
      </c>
      <c r="N76" s="58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S76" s="25"/>
      <c r="AT76" s="25"/>
      <c r="AU76" s="25"/>
      <c r="AV76" s="25"/>
      <c r="AW76" s="25"/>
      <c r="AX76" s="25"/>
      <c r="AZ76" s="25"/>
      <c r="BA76" s="25"/>
      <c r="BB76" s="25"/>
      <c r="BC76" s="25"/>
      <c r="BD76" s="25"/>
      <c r="BE76" s="25"/>
      <c r="BI76" s="25"/>
      <c r="BJ76" s="25"/>
      <c r="BK76" s="25"/>
      <c r="BL76" s="25"/>
      <c r="BM76" s="25"/>
      <c r="BN76" s="25"/>
      <c r="BP76" s="25"/>
      <c r="BQ76" s="25"/>
      <c r="BR76" s="25"/>
      <c r="BS76" s="25"/>
      <c r="BT76" s="25"/>
      <c r="BU76" s="25"/>
      <c r="BX76" s="25"/>
      <c r="BY76" s="25"/>
      <c r="BZ76" s="25"/>
      <c r="CA76" s="25"/>
      <c r="CB76" s="25"/>
      <c r="CC76" s="25"/>
      <c r="CE76" s="25"/>
      <c r="CF76" s="25"/>
      <c r="CG76" s="25"/>
      <c r="CH76" s="25"/>
      <c r="CI76" s="25"/>
      <c r="CJ76" s="25"/>
    </row>
    <row r="77" spans="1:88" ht="14" customHeight="1">
      <c r="A77" s="2" t="s">
        <v>45</v>
      </c>
      <c r="B77" s="19" t="s">
        <v>16</v>
      </c>
      <c r="C77" s="19" t="s">
        <v>17</v>
      </c>
      <c r="D77" s="16" t="s">
        <v>16</v>
      </c>
      <c r="H77" s="16" t="s">
        <v>18</v>
      </c>
      <c r="I77" s="19" t="s">
        <v>16</v>
      </c>
      <c r="J77" s="16" t="s">
        <v>16</v>
      </c>
      <c r="K77" s="19" t="s">
        <v>16</v>
      </c>
      <c r="L77" s="19" t="s">
        <v>19</v>
      </c>
      <c r="M77" s="57" t="str">
        <f t="shared" si="39"/>
        <v>Access</v>
      </c>
      <c r="N77" s="58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S77" s="25"/>
      <c r="AT77" s="25"/>
      <c r="AU77" s="25"/>
      <c r="AV77" s="25"/>
      <c r="AW77" s="25"/>
      <c r="AX77" s="25"/>
      <c r="AZ77" s="25"/>
      <c r="BA77" s="25"/>
      <c r="BB77" s="25"/>
      <c r="BC77" s="25"/>
      <c r="BD77" s="25"/>
      <c r="BE77" s="25"/>
      <c r="BI77" s="25"/>
      <c r="BJ77" s="25"/>
      <c r="BK77" s="25"/>
      <c r="BL77" s="25"/>
      <c r="BM77" s="25"/>
      <c r="BN77" s="25"/>
      <c r="BP77" s="25"/>
      <c r="BQ77" s="25"/>
      <c r="BR77" s="25"/>
      <c r="BS77" s="25"/>
      <c r="BT77" s="25"/>
      <c r="BU77" s="25"/>
      <c r="BX77" s="25"/>
      <c r="BY77" s="25"/>
      <c r="BZ77" s="25"/>
      <c r="CA77" s="25"/>
      <c r="CB77" s="25"/>
      <c r="CC77" s="25"/>
      <c r="CE77" s="25"/>
      <c r="CF77" s="25"/>
      <c r="CG77" s="25"/>
      <c r="CH77" s="25"/>
      <c r="CI77" s="25"/>
      <c r="CJ77" s="25"/>
    </row>
    <row r="78" spans="1:88" ht="14" customHeight="1">
      <c r="A78" s="2" t="str">
        <f t="shared" ref="A78:A100" si="40">IF(A29="","",A29)</f>
        <v>Cattle sales - local: no. sold</v>
      </c>
      <c r="B78" s="75">
        <f t="shared" ref="B78:C100" si="41">(B29/$B$70)</f>
        <v>1.3168249297691794</v>
      </c>
      <c r="C78" s="75">
        <f t="shared" si="41"/>
        <v>0</v>
      </c>
      <c r="D78" s="24">
        <f t="shared" ref="D78:D100" si="42">(B78+C78)</f>
        <v>1.3168249297691794</v>
      </c>
      <c r="H78" s="24">
        <f t="shared" ref="H78:H100" si="43">(E29*F29/G29*F$7/F$9)</f>
        <v>0.99107142857142871</v>
      </c>
      <c r="I78" s="22">
        <f t="shared" ref="I78:I100" si="44">(D78*H78)</f>
        <v>1.305067564324812</v>
      </c>
      <c r="J78" s="24">
        <f t="shared" ref="J78:J99" si="45">IF(I$24&lt;=1+I$113,I78,L78+J$25*(I78-L78))</f>
        <v>1.305067564324812</v>
      </c>
      <c r="K78" s="22">
        <f t="shared" ref="K78:K100" si="46">(B78)</f>
        <v>1.3168249297691794</v>
      </c>
      <c r="L78" s="22">
        <f t="shared" ref="L78:L100" si="47">(K78*H78)</f>
        <v>1.305067564324812</v>
      </c>
      <c r="M78" s="231">
        <f t="shared" si="39"/>
        <v>1.305067564324812</v>
      </c>
      <c r="N78" s="233">
        <v>5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S78" s="25"/>
      <c r="AT78" s="25"/>
      <c r="AU78" s="25"/>
      <c r="AV78" s="25"/>
      <c r="AW78" s="25"/>
      <c r="AX78" s="25"/>
      <c r="AZ78" s="25"/>
      <c r="BA78" s="25"/>
      <c r="BB78" s="25"/>
      <c r="BC78" s="25"/>
      <c r="BD78" s="25"/>
      <c r="BE78" s="25"/>
      <c r="BI78" s="25"/>
      <c r="BJ78" s="25"/>
      <c r="BK78" s="25"/>
      <c r="BL78" s="25"/>
      <c r="BM78" s="25"/>
      <c r="BN78" s="25"/>
      <c r="BP78" s="25"/>
      <c r="BQ78" s="25"/>
      <c r="BR78" s="25"/>
      <c r="BS78" s="25"/>
      <c r="BT78" s="25"/>
      <c r="BU78" s="25"/>
      <c r="BX78" s="25"/>
      <c r="BY78" s="25"/>
      <c r="BZ78" s="25"/>
      <c r="CA78" s="25"/>
      <c r="CB78" s="25"/>
      <c r="CC78" s="25"/>
      <c r="CE78" s="25"/>
      <c r="CF78" s="25"/>
      <c r="CG78" s="25"/>
      <c r="CH78" s="25"/>
      <c r="CI78" s="25"/>
      <c r="CJ78" s="25"/>
    </row>
    <row r="79" spans="1:88" ht="14" customHeight="1">
      <c r="A79" s="2" t="str">
        <f t="shared" si="40"/>
        <v>Goat sales - local: no. sold</v>
      </c>
      <c r="B79" s="75">
        <f t="shared" si="41"/>
        <v>0.23410220973674301</v>
      </c>
      <c r="C79" s="75">
        <f t="shared" si="41"/>
        <v>5.8525552434185751E-2</v>
      </c>
      <c r="D79" s="24">
        <f t="shared" si="42"/>
        <v>0.29262776217092878</v>
      </c>
      <c r="H79" s="24">
        <f t="shared" si="43"/>
        <v>0.9732142857142857</v>
      </c>
      <c r="I79" s="22">
        <f t="shared" si="44"/>
        <v>0.28478951854135032</v>
      </c>
      <c r="J79" s="24">
        <f t="shared" si="45"/>
        <v>0.22605352388045136</v>
      </c>
      <c r="K79" s="22">
        <f t="shared" si="46"/>
        <v>0.23410220973674301</v>
      </c>
      <c r="L79" s="22">
        <f t="shared" si="47"/>
        <v>0.22783161483308023</v>
      </c>
      <c r="M79" s="231">
        <f t="shared" si="39"/>
        <v>0.22605352388045136</v>
      </c>
      <c r="N79" s="233">
        <v>5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2" t="str">
        <f t="shared" si="40"/>
        <v>Sheep sales - local: no. sold</v>
      </c>
      <c r="B80" s="75">
        <f t="shared" si="41"/>
        <v>0</v>
      </c>
      <c r="C80" s="75">
        <f t="shared" si="41"/>
        <v>0</v>
      </c>
      <c r="D80" s="24">
        <f t="shared" si="42"/>
        <v>0</v>
      </c>
      <c r="H80" s="24">
        <f t="shared" si="43"/>
        <v>0.9732142857142857</v>
      </c>
      <c r="I80" s="22">
        <f t="shared" si="44"/>
        <v>0</v>
      </c>
      <c r="J80" s="24">
        <f t="shared" si="45"/>
        <v>0</v>
      </c>
      <c r="K80" s="22">
        <f t="shared" si="46"/>
        <v>0</v>
      </c>
      <c r="L80" s="22">
        <f t="shared" si="47"/>
        <v>0</v>
      </c>
      <c r="M80" s="231">
        <f t="shared" si="39"/>
        <v>0</v>
      </c>
      <c r="N80" s="233">
        <v>5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2" t="str">
        <f t="shared" si="40"/>
        <v>Maize: kg produced</v>
      </c>
      <c r="B81" s="75">
        <f t="shared" si="41"/>
        <v>0</v>
      </c>
      <c r="C81" s="75">
        <f t="shared" si="41"/>
        <v>0</v>
      </c>
      <c r="D81" s="24">
        <f t="shared" si="42"/>
        <v>0</v>
      </c>
      <c r="H81" s="24">
        <f t="shared" si="43"/>
        <v>0.9107142857142857</v>
      </c>
      <c r="I81" s="22">
        <f t="shared" si="44"/>
        <v>0</v>
      </c>
      <c r="J81" s="24">
        <f t="shared" si="45"/>
        <v>0</v>
      </c>
      <c r="K81" s="22">
        <f t="shared" si="46"/>
        <v>0</v>
      </c>
      <c r="L81" s="22">
        <f t="shared" si="47"/>
        <v>0</v>
      </c>
      <c r="M81" s="231">
        <f t="shared" si="39"/>
        <v>0</v>
      </c>
      <c r="N81" s="233">
        <v>2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2" t="str">
        <f t="shared" si="40"/>
        <v>WILD FOODS -- see worksheet Data 3</v>
      </c>
      <c r="B82" s="75">
        <f t="shared" si="41"/>
        <v>0</v>
      </c>
      <c r="C82" s="75">
        <f t="shared" si="41"/>
        <v>0</v>
      </c>
      <c r="D82" s="24">
        <f t="shared" si="42"/>
        <v>0</v>
      </c>
      <c r="H82" s="24">
        <f t="shared" si="43"/>
        <v>0.7142857142857143</v>
      </c>
      <c r="I82" s="22">
        <f t="shared" si="44"/>
        <v>0</v>
      </c>
      <c r="J82" s="24">
        <f t="shared" si="45"/>
        <v>0</v>
      </c>
      <c r="K82" s="22">
        <f t="shared" si="46"/>
        <v>0</v>
      </c>
      <c r="L82" s="22">
        <f t="shared" si="47"/>
        <v>0</v>
      </c>
      <c r="M82" s="231">
        <f t="shared" si="39"/>
        <v>0</v>
      </c>
      <c r="N82" s="233">
        <v>6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2" t="str">
        <f t="shared" si="40"/>
        <v>Agricultural cash income -- see Data2</v>
      </c>
      <c r="B83" s="75">
        <f t="shared" si="41"/>
        <v>0.10973541081409828</v>
      </c>
      <c r="C83" s="75">
        <f t="shared" si="41"/>
        <v>0</v>
      </c>
      <c r="D83" s="24">
        <f t="shared" si="42"/>
        <v>0.10973541081409828</v>
      </c>
      <c r="H83" s="24">
        <f t="shared" si="43"/>
        <v>0.86223214285714289</v>
      </c>
      <c r="I83" s="22">
        <f t="shared" si="44"/>
        <v>9.4617398413548853E-2</v>
      </c>
      <c r="J83" s="24">
        <f t="shared" si="45"/>
        <v>9.4617398413548853E-2</v>
      </c>
      <c r="K83" s="22">
        <f t="shared" si="46"/>
        <v>0.10973541081409828</v>
      </c>
      <c r="L83" s="22">
        <f t="shared" si="47"/>
        <v>9.4617398413548853E-2</v>
      </c>
      <c r="M83" s="231">
        <f t="shared" si="39"/>
        <v>9.4617398413548853E-2</v>
      </c>
      <c r="N83" s="233">
        <v>7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>
      <c r="A84" s="2" t="str">
        <f t="shared" si="40"/>
        <v>Domestic work cash income -- see Data2</v>
      </c>
      <c r="B84" s="75">
        <f t="shared" si="41"/>
        <v>0</v>
      </c>
      <c r="C84" s="75">
        <f t="shared" si="41"/>
        <v>0</v>
      </c>
      <c r="D84" s="24">
        <f t="shared" si="42"/>
        <v>0</v>
      </c>
      <c r="H84" s="24">
        <f t="shared" si="43"/>
        <v>0.98214285714285721</v>
      </c>
      <c r="I84" s="22">
        <f t="shared" si="44"/>
        <v>0</v>
      </c>
      <c r="J84" s="24">
        <f t="shared" si="45"/>
        <v>0</v>
      </c>
      <c r="K84" s="22">
        <f t="shared" si="46"/>
        <v>0</v>
      </c>
      <c r="L84" s="22">
        <f t="shared" si="47"/>
        <v>0</v>
      </c>
      <c r="M84" s="231">
        <f t="shared" si="39"/>
        <v>0</v>
      </c>
      <c r="N84" s="233">
        <v>7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>
      <c r="A85" s="2" t="str">
        <f t="shared" si="40"/>
        <v>Formal Employment (conservancies, etc.)</v>
      </c>
      <c r="B85" s="75">
        <f t="shared" si="41"/>
        <v>11.675847710620058</v>
      </c>
      <c r="C85" s="75">
        <f t="shared" si="41"/>
        <v>0</v>
      </c>
      <c r="D85" s="24">
        <f t="shared" si="42"/>
        <v>11.675847710620058</v>
      </c>
      <c r="H85" s="24">
        <f t="shared" si="43"/>
        <v>0.95535714285714279</v>
      </c>
      <c r="I85" s="22">
        <f t="shared" si="44"/>
        <v>11.15460450925309</v>
      </c>
      <c r="J85" s="24">
        <f t="shared" si="45"/>
        <v>11.15460450925309</v>
      </c>
      <c r="K85" s="22">
        <f t="shared" si="46"/>
        <v>11.675847710620058</v>
      </c>
      <c r="L85" s="22">
        <f t="shared" si="47"/>
        <v>11.15460450925309</v>
      </c>
      <c r="M85" s="231">
        <f t="shared" si="39"/>
        <v>11.15460450925309</v>
      </c>
      <c r="N85" s="233">
        <v>8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2" t="str">
        <f t="shared" si="40"/>
        <v>Self-employment -- see Data2</v>
      </c>
      <c r="B86" s="75">
        <f t="shared" si="41"/>
        <v>4.4654996507283728</v>
      </c>
      <c r="C86" s="75">
        <f t="shared" si="41"/>
        <v>0.89309993014567457</v>
      </c>
      <c r="D86" s="24">
        <f t="shared" si="42"/>
        <v>5.3585995808740474</v>
      </c>
      <c r="H86" s="24">
        <f t="shared" si="43"/>
        <v>0.98214285714285721</v>
      </c>
      <c r="I86" s="22">
        <f t="shared" si="44"/>
        <v>5.2629103026441539</v>
      </c>
      <c r="J86" s="24">
        <f t="shared" si="45"/>
        <v>4.3583759848663108</v>
      </c>
      <c r="K86" s="22">
        <f t="shared" si="46"/>
        <v>4.4654996507283728</v>
      </c>
      <c r="L86" s="22">
        <f t="shared" si="47"/>
        <v>4.3857585855367951</v>
      </c>
      <c r="M86" s="231">
        <f t="shared" si="39"/>
        <v>4.3583759848663108</v>
      </c>
      <c r="N86" s="233">
        <v>10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2" t="str">
        <f t="shared" si="40"/>
        <v>Small business -- see Data2</v>
      </c>
      <c r="B87" s="75">
        <f t="shared" si="41"/>
        <v>0.89544095224304199</v>
      </c>
      <c r="C87" s="75">
        <f t="shared" si="41"/>
        <v>0</v>
      </c>
      <c r="D87" s="24">
        <f t="shared" si="42"/>
        <v>0.89544095224304199</v>
      </c>
      <c r="H87" s="24">
        <f t="shared" si="43"/>
        <v>0.9375</v>
      </c>
      <c r="I87" s="22">
        <f t="shared" si="44"/>
        <v>0.83947589272785184</v>
      </c>
      <c r="J87" s="24">
        <f t="shared" si="45"/>
        <v>0.83947589272785184</v>
      </c>
      <c r="K87" s="22">
        <f t="shared" si="46"/>
        <v>0.89544095224304199</v>
      </c>
      <c r="L87" s="22">
        <f t="shared" si="47"/>
        <v>0.83947589272785184</v>
      </c>
      <c r="M87" s="231">
        <f t="shared" si="39"/>
        <v>0.83947589272785184</v>
      </c>
      <c r="N87" s="233">
        <v>11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4" customHeight="1">
      <c r="A88" s="2" t="str">
        <f t="shared" si="40"/>
        <v>Social Cash Transfers -- see Data2</v>
      </c>
      <c r="B88" s="75">
        <f t="shared" si="41"/>
        <v>1.2162931340556185</v>
      </c>
      <c r="C88" s="75">
        <f t="shared" si="41"/>
        <v>0</v>
      </c>
      <c r="D88" s="24">
        <f t="shared" si="42"/>
        <v>1.2162931340556185</v>
      </c>
      <c r="H88" s="24">
        <f t="shared" si="43"/>
        <v>0.99107142857142871</v>
      </c>
      <c r="I88" s="22">
        <f t="shared" si="44"/>
        <v>1.205433373930122</v>
      </c>
      <c r="J88" s="24">
        <f t="shared" si="45"/>
        <v>1.205433373930122</v>
      </c>
      <c r="K88" s="22">
        <f t="shared" si="46"/>
        <v>1.2162931340556185</v>
      </c>
      <c r="L88" s="22">
        <f t="shared" si="47"/>
        <v>1.205433373930122</v>
      </c>
      <c r="M88" s="231">
        <f t="shared" si="39"/>
        <v>1.205433373930122</v>
      </c>
      <c r="N88" s="233">
        <v>14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 t="str">
        <f t="shared" si="40"/>
        <v/>
      </c>
      <c r="B89" s="75">
        <f t="shared" si="41"/>
        <v>0</v>
      </c>
      <c r="C89" s="75">
        <f t="shared" si="41"/>
        <v>0</v>
      </c>
      <c r="D89" s="24">
        <f t="shared" si="42"/>
        <v>0</v>
      </c>
      <c r="H89" s="24">
        <f t="shared" si="43"/>
        <v>0.89285714285714279</v>
      </c>
      <c r="I89" s="22">
        <f t="shared" si="44"/>
        <v>0</v>
      </c>
      <c r="J89" s="24">
        <f t="shared" si="45"/>
        <v>0</v>
      </c>
      <c r="K89" s="22">
        <f t="shared" si="46"/>
        <v>0</v>
      </c>
      <c r="L89" s="22">
        <f t="shared" si="47"/>
        <v>0</v>
      </c>
      <c r="M89" s="231">
        <f t="shared" si="39"/>
        <v>0</v>
      </c>
      <c r="N89" s="233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tr">
        <f t="shared" si="40"/>
        <v/>
      </c>
      <c r="B90" s="75">
        <f t="shared" si="41"/>
        <v>0</v>
      </c>
      <c r="C90" s="75">
        <f t="shared" si="41"/>
        <v>0</v>
      </c>
      <c r="D90" s="24">
        <f t="shared" si="42"/>
        <v>0</v>
      </c>
      <c r="H90" s="24">
        <f t="shared" si="43"/>
        <v>0.89285714285714279</v>
      </c>
      <c r="I90" s="22">
        <f t="shared" si="44"/>
        <v>0</v>
      </c>
      <c r="J90" s="24">
        <f t="shared" si="45"/>
        <v>0</v>
      </c>
      <c r="K90" s="22">
        <f t="shared" si="46"/>
        <v>0</v>
      </c>
      <c r="L90" s="22">
        <f t="shared" si="47"/>
        <v>0</v>
      </c>
      <c r="M90" s="231">
        <f t="shared" si="39"/>
        <v>0</v>
      </c>
      <c r="N90" s="233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si="40"/>
        <v/>
      </c>
      <c r="B91" s="75">
        <f t="shared" si="41"/>
        <v>0</v>
      </c>
      <c r="C91" s="75">
        <f t="shared" si="41"/>
        <v>0</v>
      </c>
      <c r="D91" s="24">
        <f t="shared" si="42"/>
        <v>0</v>
      </c>
      <c r="H91" s="24">
        <f t="shared" si="43"/>
        <v>0.89285714285714279</v>
      </c>
      <c r="I91" s="22">
        <f t="shared" si="44"/>
        <v>0</v>
      </c>
      <c r="J91" s="24">
        <f t="shared" si="45"/>
        <v>0</v>
      </c>
      <c r="K91" s="22">
        <f t="shared" si="46"/>
        <v>0</v>
      </c>
      <c r="L91" s="22">
        <f t="shared" si="47"/>
        <v>0</v>
      </c>
      <c r="M91" s="231">
        <f t="shared" si="39"/>
        <v>0</v>
      </c>
      <c r="N91" s="233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40"/>
        <v/>
      </c>
      <c r="B92" s="75">
        <f t="shared" si="41"/>
        <v>0</v>
      </c>
      <c r="C92" s="75">
        <f t="shared" si="41"/>
        <v>0</v>
      </c>
      <c r="D92" s="24">
        <f t="shared" si="42"/>
        <v>0</v>
      </c>
      <c r="H92" s="24">
        <f t="shared" si="43"/>
        <v>0.89285714285714279</v>
      </c>
      <c r="I92" s="22">
        <f t="shared" si="44"/>
        <v>0</v>
      </c>
      <c r="J92" s="24">
        <f t="shared" si="45"/>
        <v>0</v>
      </c>
      <c r="K92" s="22">
        <f t="shared" si="46"/>
        <v>0</v>
      </c>
      <c r="L92" s="22">
        <f t="shared" si="47"/>
        <v>0</v>
      </c>
      <c r="M92" s="231">
        <f t="shared" si="39"/>
        <v>0</v>
      </c>
      <c r="N92" s="233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0"/>
        <v/>
      </c>
      <c r="B93" s="75">
        <f t="shared" si="41"/>
        <v>0</v>
      </c>
      <c r="C93" s="75">
        <f t="shared" si="41"/>
        <v>0</v>
      </c>
      <c r="D93" s="24">
        <f t="shared" si="42"/>
        <v>0</v>
      </c>
      <c r="H93" s="24">
        <f t="shared" si="43"/>
        <v>0.89285714285714279</v>
      </c>
      <c r="I93" s="22">
        <f t="shared" si="44"/>
        <v>0</v>
      </c>
      <c r="J93" s="24">
        <f t="shared" si="45"/>
        <v>0</v>
      </c>
      <c r="K93" s="22">
        <f t="shared" si="46"/>
        <v>0</v>
      </c>
      <c r="L93" s="22">
        <f t="shared" si="47"/>
        <v>0</v>
      </c>
      <c r="M93" s="231">
        <f t="shared" si="39"/>
        <v>0</v>
      </c>
      <c r="N93" s="233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0"/>
        <v/>
      </c>
      <c r="B94" s="75">
        <f t="shared" si="41"/>
        <v>0</v>
      </c>
      <c r="C94" s="75">
        <f t="shared" si="41"/>
        <v>0</v>
      </c>
      <c r="D94" s="24">
        <f t="shared" si="42"/>
        <v>0</v>
      </c>
      <c r="H94" s="24">
        <f t="shared" si="43"/>
        <v>0.89285714285714279</v>
      </c>
      <c r="I94" s="22">
        <f t="shared" si="44"/>
        <v>0</v>
      </c>
      <c r="J94" s="24">
        <f t="shared" si="45"/>
        <v>0</v>
      </c>
      <c r="K94" s="22">
        <f t="shared" si="46"/>
        <v>0</v>
      </c>
      <c r="L94" s="22">
        <f t="shared" si="47"/>
        <v>0</v>
      </c>
      <c r="M94" s="57">
        <f t="shared" si="39"/>
        <v>0</v>
      </c>
      <c r="N94" s="233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0"/>
        <v/>
      </c>
      <c r="B95" s="75">
        <f t="shared" si="41"/>
        <v>0</v>
      </c>
      <c r="C95" s="75">
        <f t="shared" si="41"/>
        <v>0</v>
      </c>
      <c r="D95" s="24">
        <f t="shared" si="42"/>
        <v>0</v>
      </c>
      <c r="H95" s="24">
        <f t="shared" si="43"/>
        <v>0.89285714285714279</v>
      </c>
      <c r="I95" s="22">
        <f t="shared" si="44"/>
        <v>0</v>
      </c>
      <c r="J95" s="24">
        <f t="shared" si="45"/>
        <v>0</v>
      </c>
      <c r="K95" s="22">
        <f t="shared" si="46"/>
        <v>0</v>
      </c>
      <c r="L95" s="22">
        <f t="shared" si="47"/>
        <v>0</v>
      </c>
      <c r="M95" s="57">
        <f t="shared" si="39"/>
        <v>0</v>
      </c>
      <c r="N95" s="233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0"/>
        <v/>
      </c>
      <c r="B96" s="75">
        <f t="shared" si="41"/>
        <v>0</v>
      </c>
      <c r="C96" s="75">
        <f t="shared" si="41"/>
        <v>0</v>
      </c>
      <c r="D96" s="24">
        <f t="shared" si="42"/>
        <v>0</v>
      </c>
      <c r="H96" s="24">
        <f t="shared" si="43"/>
        <v>0.89285714285714279</v>
      </c>
      <c r="I96" s="22">
        <f t="shared" si="44"/>
        <v>0</v>
      </c>
      <c r="J96" s="24">
        <f t="shared" si="45"/>
        <v>0</v>
      </c>
      <c r="K96" s="22">
        <f t="shared" si="46"/>
        <v>0</v>
      </c>
      <c r="L96" s="22">
        <f t="shared" si="47"/>
        <v>0</v>
      </c>
      <c r="M96" s="57">
        <f t="shared" si="39"/>
        <v>0</v>
      </c>
      <c r="N96" s="233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0"/>
        <v/>
      </c>
      <c r="B97" s="75">
        <f t="shared" si="41"/>
        <v>0</v>
      </c>
      <c r="C97" s="75">
        <f t="shared" si="41"/>
        <v>0</v>
      </c>
      <c r="D97" s="24">
        <f t="shared" si="42"/>
        <v>0</v>
      </c>
      <c r="H97" s="24">
        <f t="shared" si="43"/>
        <v>0.89285714285714279</v>
      </c>
      <c r="I97" s="22">
        <f t="shared" si="44"/>
        <v>0</v>
      </c>
      <c r="J97" s="24">
        <f t="shared" si="45"/>
        <v>0</v>
      </c>
      <c r="K97" s="22">
        <f t="shared" si="46"/>
        <v>0</v>
      </c>
      <c r="L97" s="22">
        <f t="shared" si="47"/>
        <v>0</v>
      </c>
      <c r="M97" s="57">
        <f t="shared" si="39"/>
        <v>0</v>
      </c>
      <c r="N97" s="233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0"/>
        <v/>
      </c>
      <c r="B98" s="75">
        <f t="shared" si="41"/>
        <v>0</v>
      </c>
      <c r="C98" s="75">
        <f t="shared" si="41"/>
        <v>0</v>
      </c>
      <c r="D98" s="24">
        <f t="shared" si="42"/>
        <v>0</v>
      </c>
      <c r="H98" s="24">
        <f t="shared" si="43"/>
        <v>0.89285714285714279</v>
      </c>
      <c r="I98" s="22">
        <f t="shared" si="44"/>
        <v>0</v>
      </c>
      <c r="J98" s="24">
        <f t="shared" si="45"/>
        <v>0</v>
      </c>
      <c r="K98" s="22">
        <f t="shared" si="46"/>
        <v>0</v>
      </c>
      <c r="L98" s="22">
        <f t="shared" si="47"/>
        <v>0</v>
      </c>
      <c r="M98" s="57">
        <f t="shared" si="39"/>
        <v>0</v>
      </c>
      <c r="N98" s="233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0"/>
        <v/>
      </c>
      <c r="B99" s="75">
        <f t="shared" si="41"/>
        <v>0</v>
      </c>
      <c r="C99" s="75">
        <f t="shared" si="41"/>
        <v>0</v>
      </c>
      <c r="D99" s="24">
        <f t="shared" si="42"/>
        <v>0</v>
      </c>
      <c r="H99" s="24">
        <f t="shared" si="43"/>
        <v>0.89285714285714279</v>
      </c>
      <c r="I99" s="22">
        <f t="shared" si="44"/>
        <v>0</v>
      </c>
      <c r="J99" s="24">
        <f t="shared" si="45"/>
        <v>0</v>
      </c>
      <c r="K99" s="22">
        <f t="shared" si="46"/>
        <v>0</v>
      </c>
      <c r="L99" s="22">
        <f t="shared" si="47"/>
        <v>0</v>
      </c>
      <c r="M99" s="57">
        <f t="shared" si="39"/>
        <v>0</v>
      </c>
      <c r="N99" s="233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0"/>
        <v/>
      </c>
      <c r="B100" s="75">
        <f t="shared" si="41"/>
        <v>0</v>
      </c>
      <c r="C100" s="75">
        <f t="shared" si="41"/>
        <v>0</v>
      </c>
      <c r="D100" s="24">
        <f t="shared" si="42"/>
        <v>0</v>
      </c>
      <c r="H100" s="24">
        <f t="shared" si="43"/>
        <v>0.89285714285714279</v>
      </c>
      <c r="I100" s="22">
        <f t="shared" si="44"/>
        <v>0</v>
      </c>
      <c r="J100" s="24">
        <f>IF(I$24&lt;=1+I$113,I100,L100+J$25*(I100-L100))</f>
        <v>0</v>
      </c>
      <c r="K100" s="22">
        <f t="shared" si="46"/>
        <v>0</v>
      </c>
      <c r="L100" s="22">
        <f t="shared" si="47"/>
        <v>0</v>
      </c>
      <c r="M100" s="57">
        <f t="shared" si="39"/>
        <v>0</v>
      </c>
      <c r="N100" s="233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">
        <v>32</v>
      </c>
      <c r="B101" s="22">
        <f>SUM(B78:B100)</f>
        <v>19.913743997967114</v>
      </c>
      <c r="C101" s="22">
        <f>SUM(C78:C100)</f>
        <v>0.95162548257986035</v>
      </c>
      <c r="D101" s="24">
        <f>SUM(D78:D100)</f>
        <v>20.865369480546974</v>
      </c>
      <c r="E101" s="22"/>
      <c r="F101" s="2"/>
      <c r="G101" s="2"/>
      <c r="H101" s="31"/>
      <c r="I101" s="22">
        <f>SUM(I78:I100)</f>
        <v>20.146898559834931</v>
      </c>
      <c r="J101" s="24">
        <f>SUM(J78:J100)</f>
        <v>19.183628247396186</v>
      </c>
      <c r="K101" s="22">
        <f>SUM(K78:K100)</f>
        <v>19.913743997967114</v>
      </c>
      <c r="L101" s="22">
        <f>SUM(L78:L100)</f>
        <v>19.212788939019301</v>
      </c>
      <c r="M101" s="57">
        <f t="shared" si="39"/>
        <v>19.183628247396186</v>
      </c>
      <c r="N101" s="5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83"/>
      <c r="B102" s="83"/>
      <c r="C102" s="83"/>
      <c r="D102" s="10"/>
      <c r="E102" s="11"/>
      <c r="F102" s="11"/>
      <c r="G102" s="11"/>
      <c r="H102" s="10"/>
      <c r="I102" s="11"/>
      <c r="J102" s="62"/>
      <c r="K102" s="14"/>
      <c r="L102" s="11"/>
      <c r="M102" s="63"/>
      <c r="N102" s="5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>
      <c r="A103" s="73" t="str">
        <f>A54</f>
        <v>Expenditure : Middle HHs</v>
      </c>
      <c r="B103" s="2"/>
      <c r="C103" s="2"/>
      <c r="D103" s="31"/>
      <c r="E103" s="2"/>
      <c r="F103" s="2"/>
      <c r="G103" s="2"/>
      <c r="H103" s="31"/>
      <c r="I103" s="22"/>
      <c r="J103" s="18"/>
      <c r="L103" s="2"/>
      <c r="M103" s="57"/>
      <c r="N103" s="5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2"/>
      <c r="AC103" s="2"/>
      <c r="AD103" s="2"/>
      <c r="AE103" s="2"/>
      <c r="AF103" s="2"/>
      <c r="AG103" s="2"/>
      <c r="AM103" s="21"/>
      <c r="AN103" s="21"/>
      <c r="AO103" s="21"/>
      <c r="AV103" s="21"/>
      <c r="AW103" s="21"/>
      <c r="AX103" s="21"/>
      <c r="BC103" s="21"/>
      <c r="BD103" s="21"/>
      <c r="BE103" s="21"/>
      <c r="BL103" s="21"/>
      <c r="BM103" s="21"/>
      <c r="BN103" s="21"/>
      <c r="BS103" s="21"/>
      <c r="BT103" s="21"/>
      <c r="BU103" s="21"/>
      <c r="CA103" s="21"/>
      <c r="CB103" s="21"/>
      <c r="CC103" s="21"/>
      <c r="CH103" s="21"/>
      <c r="CI103" s="21"/>
      <c r="CJ103" s="21"/>
    </row>
    <row r="104" spans="1:88" ht="14" customHeight="1">
      <c r="A104" s="84"/>
      <c r="B104" s="19" t="s">
        <v>7</v>
      </c>
      <c r="C104" s="2"/>
      <c r="D104" s="16"/>
      <c r="H104" s="16" t="s">
        <v>12</v>
      </c>
      <c r="I104" s="19" t="s">
        <v>13</v>
      </c>
      <c r="J104" s="16" t="s">
        <v>14</v>
      </c>
      <c r="K104" s="19" t="s">
        <v>7</v>
      </c>
      <c r="L104" s="19" t="s">
        <v>15</v>
      </c>
      <c r="M104" s="57" t="str">
        <f t="shared" ref="M104:M112" si="48">(J104)</f>
        <v>Curr.</v>
      </c>
      <c r="N104" s="5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">
        <v>45</v>
      </c>
      <c r="B105" s="19" t="s">
        <v>35</v>
      </c>
      <c r="C105" s="2"/>
      <c r="D105" s="31"/>
      <c r="H105" s="16" t="s">
        <v>18</v>
      </c>
      <c r="I105" s="19" t="s">
        <v>35</v>
      </c>
      <c r="J105" s="16" t="s">
        <v>35</v>
      </c>
      <c r="K105" s="19" t="s">
        <v>35</v>
      </c>
      <c r="L105" s="19" t="s">
        <v>19</v>
      </c>
      <c r="M105" s="57" t="str">
        <f t="shared" si="48"/>
        <v>Expend</v>
      </c>
      <c r="N105" s="5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2"/>
      <c r="AC105" s="2"/>
      <c r="AD105" s="2"/>
      <c r="AE105" s="2"/>
      <c r="AF105" s="2"/>
      <c r="AG105" s="2"/>
    </row>
    <row r="106" spans="1:88" ht="14" customHeight="1">
      <c r="A106" s="64" t="s">
        <v>132</v>
      </c>
      <c r="B106" s="60">
        <f>B57/B$70</f>
        <v>2.2282380850336865</v>
      </c>
      <c r="C106" s="2"/>
      <c r="D106" s="24"/>
      <c r="H106" s="97">
        <f>(E57*F57/G$29*F$7/F$9)</f>
        <v>1.0178571428571426</v>
      </c>
      <c r="I106" s="29">
        <f>IF(SUMPRODUCT($B$106:$B106,$H$106:$H106)&lt;I$101,($B106*$H106),I$101)</f>
        <v>2.268028050837859</v>
      </c>
      <c r="J106" s="238">
        <f>IF(SUMPRODUCT($B$106:$B106,$H$106:$H106)&lt;J$101,($B106*$H106),J$101)</f>
        <v>2.268028050837859</v>
      </c>
      <c r="K106" s="29">
        <f>(B106)</f>
        <v>2.2282380850336865</v>
      </c>
      <c r="L106" s="29">
        <f>IF(SUMPRODUCT($B$106:$B106,$H$106:$H106)&lt;L$101,($B106*$H106),L$101)</f>
        <v>2.268028050837859</v>
      </c>
      <c r="M106" s="239">
        <f t="shared" si="48"/>
        <v>2.268028050837859</v>
      </c>
      <c r="N106" s="5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2"/>
      <c r="AC106" s="2"/>
      <c r="AD106" s="2"/>
      <c r="AE106" s="2"/>
      <c r="AF106" s="2"/>
      <c r="AG106" s="2"/>
    </row>
    <row r="107" spans="1:88" ht="14" customHeight="1">
      <c r="A107" s="64" t="s">
        <v>133</v>
      </c>
      <c r="B107" s="60">
        <f>B58/B$70</f>
        <v>1.7095313866025659</v>
      </c>
      <c r="C107" s="2"/>
      <c r="D107" s="24"/>
      <c r="H107" s="97">
        <f>(E58*F58/G$29*F$7/F$9)</f>
        <v>0.99107142857142871</v>
      </c>
      <c r="I107" s="29">
        <f>IF(SUMPRODUCT($B$106:$B107,$H$106:$H107)&lt;I$101,($B107*$H107),IF(SUMPRODUCT($B$106:$B106,$H$106:$H106)&lt;I$101,I$101-SUMPRODUCT($B$106:$B106,$H$106:$H106),0))</f>
        <v>1.6942677135079003</v>
      </c>
      <c r="J107" s="238">
        <f>IF(SUMPRODUCT($B$106:$B107,$H$106:$H107)&lt;J$101,($B107*$H107),IF(SUMPRODUCT($B$106:$B106,$H$106:$H106)&lt;J$101,J$101-SUMPRODUCT($B$106:$B106,$H$106:$H106),0))</f>
        <v>1.6942677135079003</v>
      </c>
      <c r="K107" s="29">
        <f>(B107)</f>
        <v>1.7095313866025659</v>
      </c>
      <c r="L107" s="29">
        <f>IF(SUMPRODUCT($B$106:$B107,$H$106:$H107)&lt;L$101,($B107*$H107),IF(SUMPRODUCT($B$106:$B106,$H$106:$H106)&lt;L$101,L$101-SUMPRODUCT($B$106:$B106,$H$106:$H106),0))</f>
        <v>1.6942677135079003</v>
      </c>
      <c r="M107" s="239">
        <f t="shared" si="48"/>
        <v>1.6942677135079003</v>
      </c>
      <c r="N107" s="58"/>
      <c r="Q107" s="2"/>
      <c r="R107" s="22"/>
      <c r="S107" s="2"/>
      <c r="T107" s="2"/>
      <c r="U107" s="2"/>
      <c r="V107" s="2"/>
      <c r="W107" s="2"/>
      <c r="X107" s="2"/>
      <c r="Y107" s="2"/>
      <c r="Z107" s="2"/>
      <c r="AA107" s="2"/>
      <c r="AB107" s="22"/>
      <c r="AC107" s="2"/>
      <c r="AD107" s="2"/>
      <c r="AE107" s="2"/>
      <c r="AF107" s="2"/>
      <c r="AG107" s="2"/>
    </row>
    <row r="108" spans="1:88" ht="14" customHeight="1">
      <c r="A108" s="64" t="s">
        <v>134</v>
      </c>
      <c r="B108" s="60">
        <f t="shared" ref="B108:B109" si="49">B59/B$70</f>
        <v>3.0444992376263427</v>
      </c>
      <c r="C108" s="2"/>
      <c r="D108" s="24"/>
      <c r="H108" s="97">
        <f t="shared" ref="H108:H109" si="50">(E59*F59/G$29*F$7/F$9)</f>
        <v>0.99107142857142871</v>
      </c>
      <c r="I108" s="29">
        <f>IF(SUMPRODUCT($B$106:$B108,$H$106:$H108)&lt;(I$101-I$110),($B108*$H108),IF(SUMPRODUCT($B$106:$B107,$H$106:$H107)&lt;(I$101-I$110),I$101-I$110-SUMPRODUCT($B$106:$B107,$H$106:$H107),0))</f>
        <v>0</v>
      </c>
      <c r="J108" s="238">
        <f>IF(SUMPRODUCT($B$106:$B108,$H$106:$H108)&lt;(J$101-J$110),($B108*$H108),IF(SUMPRODUCT($B$106:$B107,$H$106:$H107)&lt;(J$101-J$110),J$101-J$110-SUMPRODUCT($B$106:$B107,$H$106:$H107),0))</f>
        <v>3.0173162087189649</v>
      </c>
      <c r="K108" s="29">
        <f t="shared" ref="K108:K109" si="51">(B108)</f>
        <v>3.0444992376263427</v>
      </c>
      <c r="L108" s="29">
        <f>IF(SUMPRODUCT($B$106:$B108,$H$106:$H108)&lt;(L$101-L$110),($B108*$H108),IF(SUMPRODUCT($B$106:$B107,$H$106:$H107)&lt;(L$101-L$110),L$101-L$110-SUMPRODUCT($B$106:$B107,$H$106:$H107),0))</f>
        <v>3.0173162087189649</v>
      </c>
      <c r="M108" s="239">
        <f t="shared" si="48"/>
        <v>3.0173162087189649</v>
      </c>
      <c r="N108" s="58"/>
      <c r="Q108" s="2"/>
      <c r="R108" s="22"/>
      <c r="S108" s="2"/>
      <c r="T108" s="2"/>
      <c r="U108" s="2"/>
      <c r="V108" s="2"/>
      <c r="W108" s="2"/>
      <c r="X108" s="2"/>
      <c r="Y108" s="2"/>
      <c r="Z108" s="2"/>
      <c r="AA108" s="2"/>
      <c r="AB108" s="22"/>
      <c r="AC108" s="2"/>
      <c r="AD108" s="2"/>
      <c r="AE108" s="2"/>
      <c r="AF108" s="2"/>
      <c r="AG108" s="2"/>
    </row>
    <row r="109" spans="1:88" ht="14" customHeight="1">
      <c r="A109" s="64" t="s">
        <v>135</v>
      </c>
      <c r="B109" s="60">
        <f t="shared" si="49"/>
        <v>3.4032608740479016</v>
      </c>
      <c r="C109" s="2"/>
      <c r="D109" s="24"/>
      <c r="H109" s="97">
        <f t="shared" si="50"/>
        <v>0.99107142857142871</v>
      </c>
      <c r="I109" s="29">
        <f>IF(SUMPRODUCT($B$106:$B109,$H$106:$H109)&lt;(I$101-I$110),($B109*$H109),IF(SUMPRODUCT($B$106:$B108,$H$106:$H108)&lt;(I$101-I110),I$101-I$110-SUMPRODUCT($B$106:$B108,$H$106:$H108),0))</f>
        <v>0</v>
      </c>
      <c r="J109" s="238">
        <f>IF(SUMPRODUCT($B$106:$B109,$H$106:$H109)&lt;(J$101-J$110),($B109*$H109),IF(SUMPRODUCT($B$106:$B108,$H$106:$H108)&lt;(J$101-J110),J$101-J$110-SUMPRODUCT($B$106:$B108,$H$106:$H108),0))</f>
        <v>3.3728746162439029</v>
      </c>
      <c r="K109" s="29">
        <f t="shared" si="51"/>
        <v>3.4032608740479016</v>
      </c>
      <c r="L109" s="29">
        <f>IF(SUMPRODUCT($B$106:$B109,$H$106:$H109)&lt;(L$101-L$110),($B109*$H109),IF(SUMPRODUCT($B$106:$B108,$H$106:$H108)&lt;(L$101-L110),L$101-L$110-SUMPRODUCT($B$106:$B108,$H$106:$H108),0))</f>
        <v>3.3728746162439029</v>
      </c>
      <c r="M109" s="239">
        <f t="shared" si="48"/>
        <v>3.3728746162439029</v>
      </c>
      <c r="N109" s="58"/>
      <c r="Q109" s="2"/>
      <c r="R109" s="22"/>
      <c r="S109" s="2"/>
      <c r="T109" s="2"/>
      <c r="U109" s="2"/>
      <c r="V109" s="2"/>
      <c r="W109" s="2"/>
      <c r="X109" s="2"/>
      <c r="Y109" s="2"/>
      <c r="Z109" s="2"/>
      <c r="AA109" s="2"/>
      <c r="AB109" s="22"/>
      <c r="AC109" s="2"/>
      <c r="AD109" s="2"/>
      <c r="AE109" s="2"/>
      <c r="AF109" s="2"/>
      <c r="AG109" s="2"/>
    </row>
    <row r="110" spans="1:88" ht="14" customHeight="1">
      <c r="A110" s="56" t="s">
        <v>36</v>
      </c>
      <c r="B110" s="29">
        <f>(B22)</f>
        <v>0.64194124034869238</v>
      </c>
      <c r="C110" s="2"/>
      <c r="D110" s="31"/>
      <c r="E110" s="2"/>
      <c r="F110" s="2"/>
      <c r="G110" s="2"/>
      <c r="H110" s="24"/>
      <c r="I110" s="29">
        <f>(I22)</f>
        <v>16.18460279548917</v>
      </c>
      <c r="J110" s="232">
        <f>(J22)</f>
        <v>0.65003349679835098</v>
      </c>
      <c r="K110" s="29">
        <f>(B110)</f>
        <v>0.64194124034869238</v>
      </c>
      <c r="L110" s="29">
        <f>IF(L106=L101,0,(L101-L106)/(B101-B106)*K110)</f>
        <v>0.61505398123875266</v>
      </c>
      <c r="M110" s="239">
        <f t="shared" si="48"/>
        <v>0.65003349679835098</v>
      </c>
      <c r="N110" s="5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2"/>
      <c r="AC110" s="2"/>
      <c r="AD110" s="2"/>
      <c r="AE110" s="2"/>
      <c r="AF110" s="2"/>
      <c r="AG110" s="2"/>
    </row>
    <row r="111" spans="1:88" ht="14" customHeight="1">
      <c r="A111" s="56" t="s">
        <v>56</v>
      </c>
      <c r="B111" s="29">
        <f>(B112-B106-B107-B108-B109-B110)</f>
        <v>8.8862731743079237</v>
      </c>
      <c r="C111" s="2"/>
      <c r="D111" s="31"/>
      <c r="E111" s="2"/>
      <c r="F111" s="2"/>
      <c r="G111" s="2"/>
      <c r="H111" s="24"/>
      <c r="I111" s="29"/>
      <c r="J111" s="232">
        <f>(J112-J106-J107-J108-J109-J110)</f>
        <v>8.1811081612892078</v>
      </c>
      <c r="K111" s="29">
        <f>(B111)</f>
        <v>8.8862731743079237</v>
      </c>
      <c r="L111" s="60">
        <f>(L112-L106-L107-L108-L109-L110)</f>
        <v>8.2452483684719216</v>
      </c>
      <c r="M111" s="239">
        <f t="shared" si="48"/>
        <v>8.1811081612892078</v>
      </c>
      <c r="N111" s="5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2"/>
      <c r="AC111" s="2"/>
      <c r="AD111" s="2"/>
      <c r="AE111" s="2"/>
      <c r="AF111" s="2"/>
      <c r="AG111" s="2"/>
    </row>
    <row r="112" spans="1:88" ht="14" customHeight="1">
      <c r="A112" s="56" t="s">
        <v>32</v>
      </c>
      <c r="B112" s="29">
        <f>(B101)</f>
        <v>19.913743997967114</v>
      </c>
      <c r="C112" s="2"/>
      <c r="D112" s="31"/>
      <c r="E112" s="2"/>
      <c r="F112" s="2"/>
      <c r="G112" s="2"/>
      <c r="H112" s="24"/>
      <c r="I112" s="29">
        <f>(I101)</f>
        <v>20.146898559834931</v>
      </c>
      <c r="J112" s="232">
        <f>(J101)</f>
        <v>19.183628247396186</v>
      </c>
      <c r="K112" s="29">
        <f>(B112)</f>
        <v>19.913743997967114</v>
      </c>
      <c r="L112" s="29">
        <f>(L101)</f>
        <v>19.212788939019301</v>
      </c>
      <c r="M112" s="239">
        <f t="shared" si="48"/>
        <v>19.183628247396186</v>
      </c>
      <c r="N112" s="5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2"/>
      <c r="AC112" s="2"/>
      <c r="AD112" s="2"/>
      <c r="AE112" s="2"/>
      <c r="AF112" s="2"/>
      <c r="AG112" s="2"/>
    </row>
    <row r="113" spans="1:33" ht="14" customHeight="1">
      <c r="A113" s="56" t="s">
        <v>37</v>
      </c>
      <c r="B113" s="29"/>
      <c r="C113" s="2"/>
      <c r="D113" s="31"/>
      <c r="E113" s="2"/>
      <c r="F113" s="2"/>
      <c r="G113" s="2"/>
      <c r="H113" s="24"/>
      <c r="I113" s="29">
        <f>IF(SUMPRODUCT($B106:$B109,$H106:$H109)&gt;(I101-I110),SUMPRODUCT($B106:$B109,$H106:$H109)+I110-I101,0)</f>
        <v>6.3901908249628647</v>
      </c>
      <c r="J113" s="238">
        <f>IF(SUMPRODUCT($B106:$B109,$H106:$H109)&gt;(J101-J110),SUMPRODUCT($B106:$B109,$H106:$H109)+J110-J101,0)</f>
        <v>0</v>
      </c>
      <c r="K113" s="29"/>
      <c r="L113" s="29">
        <f>I113-(SUM(L108:L109))</f>
        <v>0</v>
      </c>
      <c r="M113" s="238">
        <f>I113-(SUM(M108:M109))</f>
        <v>0</v>
      </c>
      <c r="N113" s="5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2"/>
      <c r="AC113" s="2"/>
      <c r="AD113" s="2"/>
      <c r="AE113" s="2"/>
      <c r="AF113" s="2"/>
      <c r="AG113" s="2"/>
    </row>
    <row r="114" spans="1:33" ht="14" customHeight="1">
      <c r="A114" s="14"/>
      <c r="B114" s="14"/>
      <c r="C114" s="14"/>
      <c r="D114" s="12"/>
      <c r="E114" s="14"/>
      <c r="F114" s="14"/>
      <c r="G114" s="14"/>
      <c r="H114" s="12"/>
      <c r="I114" s="14"/>
      <c r="J114" s="12"/>
      <c r="K114" s="14"/>
      <c r="L114" s="14"/>
      <c r="M114" s="66"/>
      <c r="N114" s="58"/>
    </row>
    <row r="124" spans="1:33">
      <c r="A124" s="2"/>
      <c r="B124" s="2"/>
      <c r="C124" s="2"/>
      <c r="D124" s="2"/>
      <c r="E124" s="2"/>
      <c r="F124" s="2"/>
      <c r="G124" s="2"/>
      <c r="H124" s="2"/>
      <c r="I124" s="2"/>
      <c r="J124" s="2"/>
      <c r="L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1:33">
      <c r="B125" s="22"/>
      <c r="C125" s="22"/>
      <c r="D125" s="2"/>
      <c r="E125" s="2"/>
      <c r="F125" s="2"/>
      <c r="G125" s="2"/>
      <c r="H125" s="2"/>
      <c r="I125" s="22"/>
      <c r="J125" s="2"/>
      <c r="L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68"/>
      <c r="AC125" s="2"/>
      <c r="AD125" s="2"/>
      <c r="AE125" s="2"/>
      <c r="AF125" s="2"/>
      <c r="AG125" s="2"/>
    </row>
    <row r="126" spans="1:33">
      <c r="B126" s="22"/>
      <c r="C126" s="22"/>
      <c r="D126" s="2"/>
      <c r="E126" s="2"/>
      <c r="F126" s="2"/>
      <c r="G126" s="2"/>
      <c r="H126" s="2"/>
      <c r="I126" s="2"/>
      <c r="J126" s="2"/>
      <c r="L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68"/>
      <c r="AC126" s="2"/>
      <c r="AD126" s="2"/>
      <c r="AE126" s="2"/>
      <c r="AF126" s="2"/>
      <c r="AG126" s="2"/>
    </row>
    <row r="127" spans="1:33">
      <c r="B127" s="22"/>
      <c r="C127" s="22"/>
      <c r="D127" s="2"/>
      <c r="E127" s="2"/>
      <c r="F127" s="2"/>
      <c r="G127" s="2"/>
      <c r="H127" s="2"/>
      <c r="I127" s="22"/>
      <c r="J127" s="2"/>
      <c r="L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68"/>
      <c r="AC127" s="2"/>
      <c r="AD127" s="2"/>
      <c r="AE127" s="2"/>
      <c r="AF127" s="2"/>
      <c r="AG127" s="2"/>
    </row>
    <row r="128" spans="1:33">
      <c r="B128" s="2"/>
      <c r="C128" s="2"/>
      <c r="D128" s="2"/>
      <c r="E128" s="2"/>
      <c r="F128" s="2"/>
      <c r="G128" s="2"/>
      <c r="H128" s="2"/>
      <c r="I128" s="2"/>
      <c r="J128" s="2"/>
      <c r="L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68"/>
      <c r="AC128" s="2"/>
      <c r="AD128" s="2"/>
      <c r="AE128" s="2"/>
      <c r="AF128" s="2"/>
      <c r="AG128" s="2"/>
    </row>
    <row r="129" spans="1:33">
      <c r="B129" s="22"/>
      <c r="C129" s="22"/>
      <c r="D129" s="2"/>
      <c r="E129" s="2"/>
      <c r="F129" s="2"/>
      <c r="G129" s="2"/>
      <c r="H129" s="2"/>
      <c r="I129" s="2"/>
      <c r="J129" s="2"/>
      <c r="L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68"/>
      <c r="AC129" s="2"/>
      <c r="AD129" s="2"/>
      <c r="AE129" s="2"/>
      <c r="AF129" s="2"/>
      <c r="AG129" s="2"/>
    </row>
    <row r="130" spans="1:33">
      <c r="B130" s="22"/>
      <c r="C130" s="22"/>
      <c r="D130" s="2"/>
      <c r="E130" s="2"/>
      <c r="F130" s="2"/>
      <c r="G130" s="2"/>
      <c r="H130" s="2"/>
      <c r="I130" s="2"/>
      <c r="J130" s="2"/>
      <c r="L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68"/>
      <c r="AC130" s="2"/>
      <c r="AD130" s="2"/>
      <c r="AE130" s="2"/>
      <c r="AF130" s="2"/>
      <c r="AG130" s="2"/>
    </row>
    <row r="131" spans="1:33">
      <c r="B131" s="22"/>
      <c r="C131" s="22"/>
      <c r="D131" s="2"/>
      <c r="E131" s="2"/>
      <c r="F131" s="2"/>
      <c r="G131" s="2"/>
      <c r="H131" s="2"/>
      <c r="I131" s="2"/>
      <c r="J131" s="2"/>
      <c r="L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68"/>
      <c r="AC131" s="2"/>
      <c r="AD131" s="2"/>
      <c r="AE131" s="2"/>
      <c r="AF131" s="2"/>
      <c r="AG131" s="2"/>
    </row>
    <row r="132" spans="1:33">
      <c r="B132" s="22"/>
      <c r="C132" s="22"/>
      <c r="D132" s="2"/>
      <c r="E132" s="2"/>
      <c r="F132" s="2"/>
      <c r="G132" s="2"/>
      <c r="H132" s="2"/>
      <c r="I132" s="2"/>
      <c r="J132" s="2"/>
      <c r="L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68"/>
      <c r="AC132" s="2"/>
      <c r="AD132" s="2"/>
      <c r="AE132" s="2"/>
      <c r="AF132" s="2"/>
      <c r="AG132" s="2"/>
    </row>
    <row r="133" spans="1:33">
      <c r="B133" s="22"/>
      <c r="C133" s="22"/>
      <c r="D133" s="2"/>
      <c r="E133" s="2"/>
      <c r="F133" s="2"/>
      <c r="G133" s="2"/>
      <c r="H133" s="2"/>
      <c r="I133" s="2"/>
      <c r="J133" s="2"/>
      <c r="L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68"/>
      <c r="AC133" s="2"/>
      <c r="AD133" s="2"/>
      <c r="AE133" s="2"/>
      <c r="AF133" s="2"/>
      <c r="AG133" s="2"/>
    </row>
    <row r="134" spans="1:33">
      <c r="B134" s="22"/>
      <c r="C134" s="22"/>
      <c r="D134" s="2"/>
      <c r="E134" s="2"/>
      <c r="F134" s="2"/>
      <c r="G134" s="2"/>
      <c r="H134" s="2"/>
      <c r="I134" s="2"/>
      <c r="J134" s="2"/>
      <c r="L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68"/>
      <c r="AC134" s="2"/>
      <c r="AD134" s="2"/>
      <c r="AE134" s="2"/>
      <c r="AF134" s="2"/>
      <c r="AG134" s="2"/>
    </row>
    <row r="135" spans="1:33">
      <c r="A135" s="2"/>
      <c r="B135" s="2"/>
      <c r="C135" s="2"/>
      <c r="D135" s="2"/>
      <c r="E135" s="2"/>
      <c r="F135" s="2"/>
      <c r="G135" s="2"/>
      <c r="H135" s="2"/>
      <c r="I135" s="2"/>
      <c r="J135" s="2"/>
      <c r="L135" s="2"/>
      <c r="O135" s="2"/>
      <c r="P135" s="2"/>
      <c r="Q135" s="2"/>
      <c r="R135" s="2"/>
      <c r="S135" s="2"/>
      <c r="T135" s="2"/>
      <c r="U135" s="2"/>
      <c r="V135" s="2"/>
      <c r="W135" s="69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1:33">
      <c r="A136" s="3"/>
      <c r="B136" s="2"/>
      <c r="C136" s="2"/>
      <c r="D136" s="2"/>
      <c r="E136" s="2"/>
      <c r="F136" s="2"/>
      <c r="H136" s="2"/>
      <c r="I136" s="2"/>
      <c r="J136" s="2"/>
      <c r="L136" s="2"/>
      <c r="W136" s="71"/>
    </row>
    <row r="137" spans="1:33">
      <c r="A137" s="2"/>
      <c r="B137" s="2"/>
      <c r="C137" s="2"/>
      <c r="D137" s="2"/>
      <c r="E137" s="2"/>
      <c r="F137" s="2"/>
      <c r="H137" s="2"/>
      <c r="I137" s="2"/>
      <c r="J137" s="2"/>
      <c r="L137" s="2"/>
      <c r="W137" s="71"/>
    </row>
    <row r="138" spans="1:33">
      <c r="A138" s="2"/>
      <c r="B138" s="2"/>
      <c r="C138" s="2"/>
      <c r="D138" s="2"/>
      <c r="E138" s="2"/>
      <c r="F138" s="2"/>
      <c r="H138" s="2"/>
      <c r="I138" s="2"/>
      <c r="J138" s="2"/>
      <c r="L138" s="2"/>
      <c r="W138" s="71"/>
    </row>
    <row r="139" spans="1:33">
      <c r="A139" s="22"/>
      <c r="B139" s="2"/>
      <c r="C139" s="2"/>
      <c r="D139" s="2"/>
      <c r="E139" s="2"/>
      <c r="F139" s="2"/>
      <c r="H139" s="2"/>
      <c r="I139" s="2"/>
      <c r="J139" s="2"/>
      <c r="L139" s="2"/>
      <c r="W139" s="71"/>
    </row>
    <row r="140" spans="1:33">
      <c r="A140" s="2"/>
      <c r="B140" s="2"/>
      <c r="C140" s="2"/>
      <c r="D140" s="2"/>
      <c r="E140" s="2"/>
      <c r="F140" s="2"/>
      <c r="H140" s="2"/>
      <c r="I140" s="2"/>
      <c r="J140" s="2"/>
      <c r="L140" s="2"/>
      <c r="W140" s="71"/>
    </row>
    <row r="141" spans="1:33">
      <c r="A141" s="2"/>
      <c r="B141" s="2"/>
      <c r="C141" s="2"/>
      <c r="D141" s="2"/>
      <c r="E141" s="2"/>
      <c r="F141" s="2"/>
      <c r="H141" s="2"/>
      <c r="I141" s="2"/>
      <c r="J141" s="2"/>
      <c r="L141" s="2"/>
    </row>
    <row r="142" spans="1:33">
      <c r="A142" s="2"/>
      <c r="B142" s="2"/>
      <c r="C142" s="2"/>
      <c r="D142" s="2"/>
      <c r="E142" s="2"/>
      <c r="F142" s="2"/>
      <c r="H142" s="2"/>
      <c r="I142" s="2"/>
      <c r="J142" s="2"/>
      <c r="L142" s="2"/>
    </row>
    <row r="143" spans="1:33">
      <c r="A143" s="2"/>
      <c r="B143" s="2"/>
      <c r="C143" s="2"/>
      <c r="D143" s="2"/>
      <c r="E143" s="2"/>
      <c r="F143" s="2"/>
      <c r="H143" s="2"/>
      <c r="I143" s="2"/>
      <c r="J143" s="2"/>
      <c r="L143" s="2"/>
      <c r="AB143" s="71"/>
    </row>
    <row r="144" spans="1:33">
      <c r="A144" s="2"/>
      <c r="B144" s="2"/>
      <c r="C144" s="2"/>
      <c r="D144" s="2"/>
      <c r="E144" s="2"/>
      <c r="F144" s="2"/>
      <c r="H144" s="2"/>
      <c r="I144" s="2"/>
      <c r="J144" s="2"/>
      <c r="L144" s="2"/>
      <c r="AB144" s="71"/>
    </row>
    <row r="145" spans="1:28">
      <c r="A145" s="2"/>
      <c r="B145" s="2"/>
      <c r="C145" s="2"/>
      <c r="D145" s="2"/>
      <c r="E145" s="2"/>
      <c r="F145" s="2"/>
      <c r="H145" s="2"/>
      <c r="I145" s="2"/>
      <c r="J145" s="2"/>
      <c r="L145" s="2"/>
      <c r="AB145" s="71"/>
    </row>
    <row r="146" spans="1:28">
      <c r="A146" s="2"/>
      <c r="B146" s="2"/>
      <c r="C146" s="2"/>
      <c r="D146" s="2"/>
      <c r="E146" s="2"/>
      <c r="F146" s="2"/>
      <c r="H146" s="2"/>
      <c r="I146" s="2"/>
      <c r="J146" s="2"/>
      <c r="L146" s="2"/>
      <c r="AB146" s="71"/>
    </row>
    <row r="147" spans="1:28">
      <c r="A147" s="2"/>
      <c r="B147" s="2"/>
      <c r="C147" s="2"/>
      <c r="D147" s="2"/>
      <c r="E147" s="2"/>
      <c r="F147" s="2"/>
      <c r="H147" s="2"/>
      <c r="I147" s="2"/>
      <c r="J147" s="2"/>
      <c r="L147" s="2"/>
      <c r="W147" s="72"/>
      <c r="AB147" s="71"/>
    </row>
    <row r="148" spans="1:28">
      <c r="A148" s="2"/>
      <c r="B148" s="2"/>
      <c r="C148" s="2"/>
      <c r="D148" s="2"/>
      <c r="E148" s="2"/>
      <c r="F148" s="2"/>
      <c r="H148" s="2"/>
      <c r="I148" s="2"/>
      <c r="J148" s="2"/>
      <c r="L148" s="2"/>
      <c r="W148" s="72"/>
      <c r="AB148" s="71"/>
    </row>
    <row r="149" spans="1:28">
      <c r="A149" s="2"/>
      <c r="B149" s="2"/>
      <c r="C149" s="2"/>
      <c r="D149" s="2"/>
      <c r="E149" s="2"/>
      <c r="F149" s="2"/>
      <c r="H149" s="2"/>
      <c r="I149" s="2"/>
      <c r="J149" s="2"/>
      <c r="L149" s="2"/>
      <c r="AB149" s="71"/>
    </row>
    <row r="150" spans="1:28">
      <c r="A150" s="2"/>
      <c r="B150" s="2"/>
      <c r="C150" s="2"/>
      <c r="D150" s="2"/>
      <c r="E150" s="2"/>
      <c r="F150" s="2"/>
      <c r="H150" s="2"/>
      <c r="I150" s="2"/>
      <c r="J150" s="2"/>
      <c r="L150" s="2"/>
      <c r="AB150" s="71"/>
    </row>
    <row r="151" spans="1:28">
      <c r="A151" s="2"/>
      <c r="B151" s="2"/>
      <c r="C151" s="2"/>
      <c r="D151" s="2"/>
      <c r="E151" s="2"/>
      <c r="F151" s="2"/>
      <c r="H151" s="2"/>
      <c r="I151" s="2"/>
      <c r="J151" s="2"/>
      <c r="L151" s="2"/>
      <c r="AB151" s="71"/>
    </row>
    <row r="152" spans="1:28">
      <c r="A152" s="2"/>
      <c r="B152" s="2"/>
      <c r="C152" s="2"/>
      <c r="D152" s="2"/>
      <c r="E152" s="2"/>
      <c r="F152" s="2"/>
      <c r="H152" s="2"/>
      <c r="I152" s="2"/>
      <c r="J152" s="2"/>
      <c r="L152" s="2"/>
    </row>
    <row r="153" spans="1:28">
      <c r="A153" s="2"/>
      <c r="B153" s="2"/>
      <c r="C153" s="2"/>
      <c r="D153" s="2"/>
      <c r="E153" s="2"/>
      <c r="F153" s="2"/>
      <c r="H153" s="2"/>
      <c r="I153" s="2"/>
      <c r="J153" s="2"/>
      <c r="L153" s="2"/>
      <c r="W153" s="72"/>
      <c r="AB153" s="71"/>
    </row>
    <row r="154" spans="1:28">
      <c r="A154" s="2"/>
      <c r="B154" s="2"/>
      <c r="C154" s="2"/>
      <c r="D154" s="2"/>
      <c r="E154" s="2"/>
      <c r="F154" s="2"/>
      <c r="H154" s="2"/>
      <c r="I154" s="2"/>
      <c r="J154" s="2"/>
      <c r="L154" s="2"/>
      <c r="W154" s="72"/>
    </row>
    <row r="155" spans="1:28">
      <c r="A155" s="2"/>
      <c r="B155" s="2"/>
      <c r="C155" s="2"/>
      <c r="D155" s="2"/>
      <c r="E155" s="2"/>
      <c r="F155" s="2"/>
      <c r="H155" s="2"/>
      <c r="I155" s="2"/>
      <c r="J155" s="2"/>
      <c r="L155" s="2"/>
    </row>
    <row r="156" spans="1:28">
      <c r="A156" s="2"/>
      <c r="B156" s="2"/>
      <c r="C156" s="2"/>
      <c r="D156" s="2"/>
      <c r="E156" s="2"/>
      <c r="F156" s="2"/>
      <c r="H156" s="2"/>
      <c r="I156" s="2"/>
      <c r="J156" s="2"/>
      <c r="L156" s="2"/>
    </row>
    <row r="157" spans="1:28">
      <c r="A157" s="2"/>
      <c r="B157" s="2"/>
      <c r="C157" s="2"/>
      <c r="D157" s="2"/>
      <c r="E157" s="2"/>
      <c r="F157" s="2"/>
      <c r="H157" s="2"/>
      <c r="I157" s="2"/>
      <c r="J157" s="2"/>
      <c r="L157" s="2"/>
      <c r="AB157" s="71"/>
    </row>
    <row r="158" spans="1:28">
      <c r="A158" s="2"/>
      <c r="B158" s="2"/>
      <c r="C158" s="2"/>
      <c r="D158" s="2"/>
      <c r="E158" s="2"/>
      <c r="F158" s="2"/>
      <c r="H158" s="2"/>
      <c r="I158" s="2"/>
      <c r="J158" s="2"/>
      <c r="L158" s="2"/>
      <c r="AB158" s="71"/>
    </row>
    <row r="159" spans="1:28">
      <c r="A159" s="2"/>
      <c r="B159" s="2"/>
      <c r="C159" s="2"/>
      <c r="D159" s="2"/>
      <c r="E159" s="2"/>
      <c r="F159" s="2"/>
      <c r="H159" s="2"/>
      <c r="I159" s="2"/>
      <c r="J159" s="2"/>
      <c r="L159" s="2"/>
      <c r="W159" s="72"/>
      <c r="AB159" s="71"/>
    </row>
    <row r="160" spans="1:28">
      <c r="A160" s="2"/>
      <c r="B160" s="2"/>
      <c r="C160" s="2"/>
      <c r="D160" s="2"/>
      <c r="E160" s="2"/>
      <c r="F160" s="2"/>
      <c r="H160" s="2"/>
      <c r="I160" s="2"/>
      <c r="J160" s="2"/>
      <c r="L160" s="2"/>
      <c r="W160" s="72"/>
      <c r="AB160" s="71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</row>
    <row r="167" spans="1:28">
      <c r="AB167" s="71"/>
    </row>
    <row r="168" spans="1:28">
      <c r="AB168" s="71"/>
    </row>
    <row r="169" spans="1:28">
      <c r="AB169" s="71"/>
    </row>
    <row r="170" spans="1:28">
      <c r="AB170" s="71"/>
    </row>
    <row r="171" spans="1:28">
      <c r="W171" s="72"/>
      <c r="AB171" s="71"/>
    </row>
    <row r="172" spans="1:28">
      <c r="W172" s="72"/>
      <c r="AB172" s="71"/>
    </row>
    <row r="173" spans="1:28">
      <c r="W173" s="72"/>
    </row>
    <row r="175" spans="1:28">
      <c r="AB175" s="71"/>
    </row>
    <row r="176" spans="1:28">
      <c r="AB176" s="71"/>
    </row>
    <row r="177" spans="23:28">
      <c r="AB177" s="71"/>
    </row>
    <row r="178" spans="23:28">
      <c r="AB178" s="71"/>
    </row>
    <row r="179" spans="23:28">
      <c r="AB179" s="71"/>
    </row>
    <row r="180" spans="23:28">
      <c r="W180" s="72"/>
      <c r="AB180" s="71"/>
    </row>
    <row r="181" spans="23:28">
      <c r="W181" s="72"/>
    </row>
    <row r="182" spans="23:28">
      <c r="W182" s="72"/>
    </row>
    <row r="189" spans="23:28">
      <c r="W189" s="72"/>
    </row>
    <row r="190" spans="23:28">
      <c r="W190" s="72"/>
    </row>
    <row r="191" spans="23:28">
      <c r="W191" s="72"/>
    </row>
    <row r="201" spans="23:23">
      <c r="W201" s="72"/>
    </row>
    <row r="202" spans="23:23">
      <c r="W202" s="72"/>
    </row>
    <row r="203" spans="23:23">
      <c r="W203" s="72"/>
    </row>
    <row r="210" spans="23:23">
      <c r="W210" s="72"/>
    </row>
    <row r="211" spans="23:23">
      <c r="W211" s="72"/>
    </row>
    <row r="212" spans="23:23">
      <c r="W212" s="72"/>
    </row>
    <row r="219" spans="23:23">
      <c r="W219" s="72"/>
    </row>
    <row r="220" spans="23:23">
      <c r="W220" s="72"/>
    </row>
    <row r="221" spans="23:23">
      <c r="W221" s="72"/>
    </row>
    <row r="231" spans="23:23">
      <c r="W231" s="72"/>
    </row>
    <row r="232" spans="23:23">
      <c r="W232" s="72"/>
    </row>
    <row r="233" spans="23:23">
      <c r="W233" s="72"/>
    </row>
    <row r="240" spans="23:23">
      <c r="W240" s="72"/>
    </row>
    <row r="241" spans="23:23">
      <c r="W241" s="72"/>
    </row>
    <row r="242" spans="23:23">
      <c r="W242" s="72"/>
    </row>
    <row r="249" spans="23:23">
      <c r="W249" s="72"/>
    </row>
    <row r="250" spans="23:23">
      <c r="W250" s="72"/>
    </row>
    <row r="251" spans="23:23">
      <c r="W251" s="72"/>
    </row>
  </sheetData>
  <sheetProtection sheet="1" objects="1" scenarios="1" formatCells="0" formatColumns="0" formatRow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19" val="1" numFmtId="9"/>
      <inputCells r="E20" val="1" numFmtId="9"/>
      <inputCells r="E21" val="1" numFmtId="9"/>
      <inputCells r="E32" val="1" numFmtId="9"/>
      <inputCells r="E36" val="1" numFmtId="9"/>
      <inputCells r="E37" val="1" numFmtId="9"/>
      <inputCells r="E38" val="1" numFmtId="9"/>
      <inputCells r="E51" val="1" numFmtId="9"/>
      <inputCells r="F30" val="1" numFmtId="9"/>
      <inputCells r="F31" val="2" numFmtId="9"/>
      <inputCells r="F32" val="1.25" numFmtId="9"/>
      <inputCells r="F36" val="1" numFmtId="9"/>
      <inputCells r="F37" val="0.4" numFmtId="9"/>
      <inputCells r="F38" val="1" numFmtId="9"/>
      <inputCells r="F51" val="1" numFmtId="9"/>
      <inputCells r="F29" val="2.5" numFmtId="9"/>
      <inputCells r="G29" val="2" numFmtId="9"/>
      <inputCells r="F57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19" val="1" numFmtId="9"/>
      <inputCells r="E20" val="1" numFmtId="9"/>
      <inputCells r="E21" val="1" numFmtId="9"/>
      <inputCells r="E32" val="1" numFmtId="9"/>
      <inputCells r="E36" val="1" numFmtId="9"/>
      <inputCells r="E37" val="1" numFmtId="9"/>
      <inputCells r="E38" val="1" numFmtId="9"/>
      <inputCells r="E51" val="1" numFmtId="9"/>
      <inputCells r="F29" val="1" numFmtId="9"/>
      <inputCells r="F30" val="1" numFmtId="9"/>
      <inputCells r="F31" val="1" numFmtId="9"/>
      <inputCells r="F32" val="1" numFmtId="9"/>
      <inputCells r="F36" val="1" numFmtId="9"/>
      <inputCells r="F37" val="1" numFmtId="9"/>
      <inputCells r="F38" val="1" numFmtId="9"/>
      <inputCells r="F51" val="1" numFmtId="9"/>
      <inputCells r="G29" val="1" numFmtId="9"/>
      <inputCells r="F57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1" priority="113" operator="equal">
      <formula>16</formula>
    </cfRule>
    <cfRule type="cellIs" dxfId="190" priority="114" operator="equal">
      <formula>15</formula>
    </cfRule>
    <cfRule type="cellIs" dxfId="189" priority="115" operator="equal">
      <formula>14</formula>
    </cfRule>
    <cfRule type="cellIs" dxfId="188" priority="116" operator="equal">
      <formula>13</formula>
    </cfRule>
    <cfRule type="cellIs" dxfId="187" priority="117" operator="equal">
      <formula>12</formula>
    </cfRule>
    <cfRule type="cellIs" dxfId="186" priority="118" operator="equal">
      <formula>11</formula>
    </cfRule>
    <cfRule type="cellIs" dxfId="185" priority="119" operator="equal">
      <formula>10</formula>
    </cfRule>
    <cfRule type="cellIs" dxfId="184" priority="120" operator="equal">
      <formula>9</formula>
    </cfRule>
    <cfRule type="cellIs" dxfId="183" priority="121" operator="equal">
      <formula>8</formula>
    </cfRule>
    <cfRule type="cellIs" dxfId="182" priority="122" operator="equal">
      <formula>7</formula>
    </cfRule>
    <cfRule type="cellIs" dxfId="181" priority="123" operator="equal">
      <formula>6</formula>
    </cfRule>
    <cfRule type="cellIs" dxfId="180" priority="124" operator="equal">
      <formula>5</formula>
    </cfRule>
    <cfRule type="cellIs" dxfId="179" priority="125" operator="equal">
      <formula>4</formula>
    </cfRule>
    <cfRule type="cellIs" dxfId="178" priority="126" operator="equal">
      <formula>3</formula>
    </cfRule>
    <cfRule type="cellIs" dxfId="177" priority="127" operator="equal">
      <formula>2</formula>
    </cfRule>
    <cfRule type="cellIs" dxfId="176" priority="128" operator="equal">
      <formula>1</formula>
    </cfRule>
  </conditionalFormatting>
  <conditionalFormatting sqref="N21">
    <cfRule type="cellIs" dxfId="175" priority="97" operator="equal">
      <formula>16</formula>
    </cfRule>
    <cfRule type="cellIs" dxfId="174" priority="98" operator="equal">
      <formula>15</formula>
    </cfRule>
    <cfRule type="cellIs" dxfId="173" priority="99" operator="equal">
      <formula>14</formula>
    </cfRule>
    <cfRule type="cellIs" dxfId="172" priority="100" operator="equal">
      <formula>13</formula>
    </cfRule>
    <cfRule type="cellIs" dxfId="171" priority="101" operator="equal">
      <formula>12</formula>
    </cfRule>
    <cfRule type="cellIs" dxfId="170" priority="102" operator="equal">
      <formula>11</formula>
    </cfRule>
    <cfRule type="cellIs" dxfId="169" priority="103" operator="equal">
      <formula>10</formula>
    </cfRule>
    <cfRule type="cellIs" dxfId="168" priority="104" operator="equal">
      <formula>9</formula>
    </cfRule>
    <cfRule type="cellIs" dxfId="167" priority="105" operator="equal">
      <formula>8</formula>
    </cfRule>
    <cfRule type="cellIs" dxfId="166" priority="106" operator="equal">
      <formula>7</formula>
    </cfRule>
    <cfRule type="cellIs" dxfId="165" priority="107" operator="equal">
      <formula>6</formula>
    </cfRule>
    <cfRule type="cellIs" dxfId="164" priority="108" operator="equal">
      <formula>5</formula>
    </cfRule>
    <cfRule type="cellIs" dxfId="163" priority="109" operator="equal">
      <formula>4</formula>
    </cfRule>
    <cfRule type="cellIs" dxfId="162" priority="110" operator="equal">
      <formula>3</formula>
    </cfRule>
    <cfRule type="cellIs" dxfId="161" priority="111" operator="equal">
      <formula>2</formula>
    </cfRule>
    <cfRule type="cellIs" dxfId="160" priority="112" operator="equal">
      <formula>1</formula>
    </cfRule>
  </conditionalFormatting>
  <conditionalFormatting sqref="N95:N100">
    <cfRule type="cellIs" dxfId="159" priority="49" operator="equal">
      <formula>16</formula>
    </cfRule>
    <cfRule type="cellIs" dxfId="158" priority="50" operator="equal">
      <formula>15</formula>
    </cfRule>
    <cfRule type="cellIs" dxfId="157" priority="51" operator="equal">
      <formula>14</formula>
    </cfRule>
    <cfRule type="cellIs" dxfId="156" priority="52" operator="equal">
      <formula>13</formula>
    </cfRule>
    <cfRule type="cellIs" dxfId="155" priority="53" operator="equal">
      <formula>12</formula>
    </cfRule>
    <cfRule type="cellIs" dxfId="154" priority="54" operator="equal">
      <formula>11</formula>
    </cfRule>
    <cfRule type="cellIs" dxfId="153" priority="55" operator="equal">
      <formula>10</formula>
    </cfRule>
    <cfRule type="cellIs" dxfId="152" priority="56" operator="equal">
      <formula>9</formula>
    </cfRule>
    <cfRule type="cellIs" dxfId="151" priority="57" operator="equal">
      <formula>8</formula>
    </cfRule>
    <cfRule type="cellIs" dxfId="150" priority="58" operator="equal">
      <formula>7</formula>
    </cfRule>
    <cfRule type="cellIs" dxfId="149" priority="59" operator="equal">
      <formula>6</formula>
    </cfRule>
    <cfRule type="cellIs" dxfId="148" priority="60" operator="equal">
      <formula>5</formula>
    </cfRule>
    <cfRule type="cellIs" dxfId="147" priority="61" operator="equal">
      <formula>4</formula>
    </cfRule>
    <cfRule type="cellIs" dxfId="146" priority="62" operator="equal">
      <formula>3</formula>
    </cfRule>
    <cfRule type="cellIs" dxfId="145" priority="63" operator="equal">
      <formula>2</formula>
    </cfRule>
    <cfRule type="cellIs" dxfId="144" priority="64" operator="equal">
      <formula>1</formula>
    </cfRule>
  </conditionalFormatting>
  <conditionalFormatting sqref="N6:N20">
    <cfRule type="cellIs" dxfId="143" priority="33" operator="equal">
      <formula>16</formula>
    </cfRule>
    <cfRule type="cellIs" dxfId="142" priority="34" operator="equal">
      <formula>15</formula>
    </cfRule>
    <cfRule type="cellIs" dxfId="141" priority="35" operator="equal">
      <formula>14</formula>
    </cfRule>
    <cfRule type="cellIs" dxfId="140" priority="36" operator="equal">
      <formula>13</formula>
    </cfRule>
    <cfRule type="cellIs" dxfId="139" priority="37" operator="equal">
      <formula>12</formula>
    </cfRule>
    <cfRule type="cellIs" dxfId="138" priority="38" operator="equal">
      <formula>11</formula>
    </cfRule>
    <cfRule type="cellIs" dxfId="137" priority="39" operator="equal">
      <formula>10</formula>
    </cfRule>
    <cfRule type="cellIs" dxfId="136" priority="40" operator="equal">
      <formula>9</formula>
    </cfRule>
    <cfRule type="cellIs" dxfId="135" priority="41" operator="equal">
      <formula>8</formula>
    </cfRule>
    <cfRule type="cellIs" dxfId="134" priority="42" operator="equal">
      <formula>7</formula>
    </cfRule>
    <cfRule type="cellIs" dxfId="133" priority="43" operator="equal">
      <formula>6</formula>
    </cfRule>
    <cfRule type="cellIs" dxfId="132" priority="44" operator="equal">
      <formula>5</formula>
    </cfRule>
    <cfRule type="cellIs" dxfId="131" priority="45" operator="equal">
      <formula>4</formula>
    </cfRule>
    <cfRule type="cellIs" dxfId="130" priority="46" operator="equal">
      <formula>3</formula>
    </cfRule>
    <cfRule type="cellIs" dxfId="129" priority="47" operator="equal">
      <formula>2</formula>
    </cfRule>
    <cfRule type="cellIs" dxfId="128" priority="48" operator="equal">
      <formula>1</formula>
    </cfRule>
  </conditionalFormatting>
  <conditionalFormatting sqref="N78:N91">
    <cfRule type="cellIs" dxfId="127" priority="17" operator="equal">
      <formula>16</formula>
    </cfRule>
    <cfRule type="cellIs" dxfId="126" priority="18" operator="equal">
      <formula>15</formula>
    </cfRule>
    <cfRule type="cellIs" dxfId="125" priority="19" operator="equal">
      <formula>14</formula>
    </cfRule>
    <cfRule type="cellIs" dxfId="124" priority="20" operator="equal">
      <formula>13</formula>
    </cfRule>
    <cfRule type="cellIs" dxfId="123" priority="21" operator="equal">
      <formula>12</formula>
    </cfRule>
    <cfRule type="cellIs" dxfId="122" priority="22" operator="equal">
      <formula>11</formula>
    </cfRule>
    <cfRule type="cellIs" dxfId="121" priority="23" operator="equal">
      <formula>10</formula>
    </cfRule>
    <cfRule type="cellIs" dxfId="120" priority="24" operator="equal">
      <formula>9</formula>
    </cfRule>
    <cfRule type="cellIs" dxfId="119" priority="25" operator="equal">
      <formula>8</formula>
    </cfRule>
    <cfRule type="cellIs" dxfId="118" priority="26" operator="equal">
      <formula>7</formula>
    </cfRule>
    <cfRule type="cellIs" dxfId="117" priority="27" operator="equal">
      <formula>6</formula>
    </cfRule>
    <cfRule type="cellIs" dxfId="116" priority="28" operator="equal">
      <formula>5</formula>
    </cfRule>
    <cfRule type="cellIs" dxfId="115" priority="29" operator="equal">
      <formula>4</formula>
    </cfRule>
    <cfRule type="cellIs" dxfId="114" priority="30" operator="equal">
      <formula>3</formula>
    </cfRule>
    <cfRule type="cellIs" dxfId="113" priority="31" operator="equal">
      <formula>2</formula>
    </cfRule>
    <cfRule type="cellIs" dxfId="112" priority="32" operator="equal">
      <formula>1</formula>
    </cfRule>
  </conditionalFormatting>
  <conditionalFormatting sqref="N92:N94">
    <cfRule type="cellIs" dxfId="111" priority="1" operator="equal">
      <formula>16</formula>
    </cfRule>
    <cfRule type="cellIs" dxfId="110" priority="2" operator="equal">
      <formula>15</formula>
    </cfRule>
    <cfRule type="cellIs" dxfId="109" priority="3" operator="equal">
      <formula>14</formula>
    </cfRule>
    <cfRule type="cellIs" dxfId="108" priority="4" operator="equal">
      <formula>13</formula>
    </cfRule>
    <cfRule type="cellIs" dxfId="107" priority="5" operator="equal">
      <formula>12</formula>
    </cfRule>
    <cfRule type="cellIs" dxfId="106" priority="6" operator="equal">
      <formula>11</formula>
    </cfRule>
    <cfRule type="cellIs" dxfId="105" priority="7" operator="equal">
      <formula>10</formula>
    </cfRule>
    <cfRule type="cellIs" dxfId="104" priority="8" operator="equal">
      <formula>9</formula>
    </cfRule>
    <cfRule type="cellIs" dxfId="103" priority="9" operator="equal">
      <formula>8</formula>
    </cfRule>
    <cfRule type="cellIs" dxfId="102" priority="10" operator="equal">
      <formula>7</formula>
    </cfRule>
    <cfRule type="cellIs" dxfId="101" priority="11" operator="equal">
      <formula>6</formula>
    </cfRule>
    <cfRule type="cellIs" dxfId="100" priority="12" operator="equal">
      <formula>5</formula>
    </cfRule>
    <cfRule type="cellIs" dxfId="99" priority="13" operator="equal">
      <formula>4</formula>
    </cfRule>
    <cfRule type="cellIs" dxfId="98" priority="14" operator="equal">
      <formula>3</formula>
    </cfRule>
    <cfRule type="cellIs" dxfId="97" priority="15" operator="equal">
      <formula>2</formula>
    </cfRule>
    <cfRule type="cellIs" dxfId="96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51"/>
  <sheetViews>
    <sheetView showGridLines="0" workbookViewId="0">
      <pane xSplit="1" ySplit="2" topLeftCell="B14" activePane="bottomRight" state="frozen"/>
      <selection pane="topRight" activeCell="B1" sqref="B1"/>
      <selection pane="bottomLeft" activeCell="A3" sqref="A3"/>
      <selection pane="bottomRight" activeCell="B68" sqref="B6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ZANOC</v>
      </c>
      <c r="B1" s="2"/>
      <c r="C1" s="2"/>
      <c r="D1" s="2"/>
      <c r="E1" s="2" t="s">
        <v>46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09"/>
      <c r="X1" s="113" t="s">
        <v>68</v>
      </c>
      <c r="Y1" s="114" t="s">
        <v>59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6"/>
      <c r="AI1" s="109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09"/>
      <c r="X2" s="117" t="s">
        <v>60</v>
      </c>
      <c r="Y2" s="114" t="s">
        <v>61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6"/>
      <c r="AI2" s="109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50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69</v>
      </c>
      <c r="R3" s="56"/>
      <c r="S3" s="67"/>
      <c r="T3" s="56"/>
      <c r="U3" s="56"/>
      <c r="V3" s="56"/>
      <c r="W3" s="109"/>
      <c r="X3" s="117"/>
      <c r="Y3" s="114" t="s">
        <v>62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70</v>
      </c>
      <c r="R4" s="56"/>
      <c r="S4" s="29"/>
      <c r="T4" s="56"/>
      <c r="U4" s="56"/>
      <c r="V4" s="56"/>
      <c r="W4" s="109"/>
      <c r="X4" s="117"/>
      <c r="Y4" s="114" t="s">
        <v>63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130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0">
        <f>IF([1]Summ!$J1044="",0,[1]Summ!$J1044)</f>
        <v>4.7559153175591534E-2</v>
      </c>
      <c r="C6" s="101">
        <f>IF([1]Summ!$K1044="",0,[1]Summ!$K1044)</f>
        <v>0</v>
      </c>
      <c r="D6" s="24">
        <f t="shared" ref="D6:D21" si="0">(B6+C6)</f>
        <v>4.7559153175591534E-2</v>
      </c>
      <c r="E6" s="75">
        <f>Middle!E6</f>
        <v>1</v>
      </c>
      <c r="F6" s="2" t="s">
        <v>21</v>
      </c>
      <c r="H6" s="24">
        <f t="shared" ref="H6:H21" si="1">(E6*F$7/F$9)</f>
        <v>1</v>
      </c>
      <c r="I6" s="22">
        <f t="shared" ref="I6:I21" si="2">(D6*H6)</f>
        <v>4.7559153175591534E-2</v>
      </c>
      <c r="J6" s="24">
        <f t="shared" ref="J6:J13" si="3">IF(I$24&lt;=1+I$113,I6,B6*H6+J$25*(I6-B6*H6))</f>
        <v>4.7559153175591534E-2</v>
      </c>
      <c r="K6" s="22">
        <f t="shared" ref="K6:K23" si="4">B6</f>
        <v>4.7559153175591534E-2</v>
      </c>
      <c r="L6" s="22">
        <f t="shared" ref="L6:L21" si="5">IF(K6="","",K6*H6)</f>
        <v>4.7559153175591534E-2</v>
      </c>
      <c r="M6" s="176">
        <f t="shared" ref="M6:M23" si="6">J6</f>
        <v>4.7559153175591534E-2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71</v>
      </c>
      <c r="T6" s="70" t="s">
        <v>22</v>
      </c>
      <c r="U6" s="56"/>
      <c r="V6" s="56"/>
      <c r="W6" s="114"/>
      <c r="X6" s="117"/>
      <c r="Y6" s="184">
        <f>M6*4</f>
        <v>0.19023661270236614</v>
      </c>
      <c r="Z6" s="155">
        <f>Poor!Z6</f>
        <v>0.17</v>
      </c>
      <c r="AA6" s="120">
        <f>$M6*Z6*4</f>
        <v>3.2340224159402242E-2</v>
      </c>
      <c r="AB6" s="155">
        <f>Poor!AB6</f>
        <v>0.17</v>
      </c>
      <c r="AC6" s="120">
        <f t="shared" ref="AC6:AC21" si="7">$M6*AB6*4</f>
        <v>3.2340224159402242E-2</v>
      </c>
      <c r="AD6" s="155">
        <f>Poor!AD6</f>
        <v>0.33</v>
      </c>
      <c r="AE6" s="120">
        <f t="shared" ref="AE6:AE21" si="8">$M6*AD6*4</f>
        <v>6.2778082191780826E-2</v>
      </c>
      <c r="AF6" s="121">
        <f>1-SUM(Z6,AB6,AD6)</f>
        <v>0.32999999999999996</v>
      </c>
      <c r="AG6" s="120">
        <f>$M6*AF6*4</f>
        <v>6.2778082191780812E-2</v>
      </c>
      <c r="AH6" s="122">
        <f>SUM(Z6,AB6,AD6,AF6)</f>
        <v>1</v>
      </c>
      <c r="AI6" s="184">
        <f>SUM(AA6,AC6,AE6,AG6)/4</f>
        <v>4.7559153175591534E-2</v>
      </c>
      <c r="AJ6" s="119">
        <f>(AA6+AC6)/2</f>
        <v>3.2340224159402242E-2</v>
      </c>
      <c r="AK6" s="118">
        <f>(AE6+AG6)/2</f>
        <v>6.2778082191780826E-2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0">
        <f>IF([1]Summ!$J1045="",0,[1]Summ!$J1045)</f>
        <v>3.0037359900373602E-2</v>
      </c>
      <c r="C7" s="101">
        <f>IF([1]Summ!$K1045="",0,[1]Summ!$K1045)</f>
        <v>0</v>
      </c>
      <c r="D7" s="24">
        <f t="shared" si="0"/>
        <v>3.0037359900373602E-2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3.0037359900373602E-2</v>
      </c>
      <c r="J7" s="24">
        <f t="shared" si="3"/>
        <v>3.0037359900373602E-2</v>
      </c>
      <c r="K7" s="22">
        <f t="shared" si="4"/>
        <v>3.0037359900373602E-2</v>
      </c>
      <c r="L7" s="22">
        <f t="shared" si="5"/>
        <v>3.0037359900373602E-2</v>
      </c>
      <c r="M7" s="176">
        <f t="shared" si="6"/>
        <v>3.0037359900373602E-2</v>
      </c>
      <c r="N7" s="233">
        <v>3</v>
      </c>
      <c r="O7" s="2"/>
      <c r="P7" s="22"/>
      <c r="Q7" s="59" t="s">
        <v>72</v>
      </c>
      <c r="R7" s="226">
        <f>IF($B$68=0,0,(SUMIF($N$6:$N$20,$U7,K$6:K$20)+SUMIF($N$78:$N$100,$U7,K$78:K$100))*$I$70*Poor!$B$68/$B$68)</f>
        <v>3942.9259229559671</v>
      </c>
      <c r="S7" s="226">
        <f>IF($B$68=0,0,(SUMIF($N$6:$N$20,$U7,L$6:L$20)+SUMIF($N$78:$N$100,$U7,L$78:L$100))*$I$70*Poor!$B$68/$B$68)</f>
        <v>3942.9259229559671</v>
      </c>
      <c r="T7" s="226">
        <f>IF($B$68=0,0,(SUMIF($N$6:$N$20,$U7,M$6:M$20)+SUMIF($N$78:$N$100,$U7,M$78:M$100))*$I$70*Poor!$B$68/$B$68)</f>
        <v>3883.6803559907703</v>
      </c>
      <c r="U7" s="227">
        <v>1</v>
      </c>
      <c r="V7" s="56"/>
      <c r="W7" s="114"/>
      <c r="X7" s="117">
        <f>Poor!X7</f>
        <v>4</v>
      </c>
      <c r="Y7" s="184">
        <f t="shared" ref="Y7:Y21" si="9">M7*4</f>
        <v>0.12014943960149441</v>
      </c>
      <c r="Z7" s="124">
        <f>IF($Y7=0,0,AA7/$Y7)</f>
        <v>0</v>
      </c>
      <c r="AA7" s="120">
        <f>IF($X7=1,IF(SUM(AA$6,AA$12:AA$21)&lt;1,IF((1-SUM(AA$6,AA$12:AA$21))*$M7/SUM($M$7*IF($X$7=1,1,0),$M$8*IF($X$8=1,1,0),$M$9*IF($X$9=1,1,0),$M$10*IF($X$10=1,1,0),$M$11*IF($X$11=1,1,0))&lt;Y7,(1-SUM(AA$6,AA$12:AA$21)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$21)&lt;1,IF(SUM(AC$6,AC$12:AC$21)+SUM((Y$7-AA$7)*IF($X$7&lt;3,1,0),(Y$8-AA$8)*IF($X$8&lt;3,1,0),(Y$9-AA$9)*IF($X$9&lt;3,1,0),(Y$10-AA$10)*IF($X$10&lt;3,1,0),(Y$11-AA$11)*IF($X$11&lt;3,1,0))&lt;1,Y7-AA7,IF((1-SUM(AC$6,AC$12:AC$21))*$M7/SUM($M$7*IF($X$7&lt;3,1,0),$M$8*IF($X$8&lt;3,1,0),$M$9*IF($X$9&lt;3,1,0),$M$10*IF($X$10&lt;3,1,0),$M$11*IF($X$11&lt;3,1,0))&lt;Y7-AA7,(1-SUM(AC$6,AC$12:AC$21)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$21)&lt;1,IF(SUM(AE$6:AE$6,AE$12:AE$21)+SUM((Y$7-AA$7-AC$7)*IF($X$7&lt;3,1,0),(Y$8-AA$8-AC$8)*IF($X$8&lt;3,1,0),(Y$9-AA$9-AC$9)*IF($X$9&lt;3,1,0),(Y$10-AA$10-AC$10)*IF($X$10&lt;3,1,0),(Y$11-AA$11-AC$11)*IF($X$11&lt;3,1,0))&lt;1,Y7-AA7-AC7,IF((1-SUM(AE$6:AE$6,AE$12:AE$21))*$M7/SUM($M$7*IF($X$7&lt;4,1,0),$M$8*IF($X$8&lt;4,1,0),$M$9*IF($X$9&lt;4,1,0),$M$10*IF($X$10&lt;4,1,0),$M$11*IF($X$11&lt;4,1,0))&lt;Y7-AA7-AC7,(1-SUM(AE$6:AE$6,AE$12:AE$21))*$M7/SUM($M$7*IF($X$7&lt;4,1,0),$M$8*IF($X$8&lt;4,1,0),$M$9*IF($X$9&lt;4,1,0),$M$10*IF($X$10&lt;4,1,0),$M$11*IF($X$11&lt;4,1,0)),Y7-AA7-AC7)),0),0)</f>
        <v>0</v>
      </c>
      <c r="AF7" s="121">
        <f t="shared" ref="AF7:AF21" si="10">1-SUM(Z7,AB7,AD7)</f>
        <v>1</v>
      </c>
      <c r="AG7" s="120">
        <f t="shared" ref="AG7:AG21" si="11">$M7*AF7*4</f>
        <v>0.12014943960149441</v>
      </c>
      <c r="AH7" s="122">
        <f t="shared" ref="AH7:AH22" si="12">SUM(Z7,AB7,AD7,AF7)</f>
        <v>1</v>
      </c>
      <c r="AI7" s="184">
        <f t="shared" ref="AI7:AI22" si="13">SUM(AA7,AC7,AE7,AG7)/4</f>
        <v>3.0037359900373602E-2</v>
      </c>
      <c r="AJ7" s="119">
        <f t="shared" ref="AJ7:AJ23" si="14">(AA7+AC7)/2</f>
        <v>0</v>
      </c>
      <c r="AK7" s="118">
        <f t="shared" ref="AK7:AK23" si="15">(AE7+AG7)/2</f>
        <v>6.0074719800747203E-2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0">
        <f>IF([1]Summ!$J1046="",0,[1]Summ!$J1046)</f>
        <v>9.8667496886674977E-2</v>
      </c>
      <c r="C8" s="101">
        <f>IF([1]Summ!$K1046="",0,[1]Summ!$K1046)</f>
        <v>0</v>
      </c>
      <c r="D8" s="24">
        <f t="shared" si="0"/>
        <v>9.8667496886674977E-2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9.8667496886674977E-2</v>
      </c>
      <c r="J8" s="24">
        <f t="shared" si="3"/>
        <v>9.8667496886674977E-2</v>
      </c>
      <c r="K8" s="22">
        <f t="shared" si="4"/>
        <v>9.8667496886674977E-2</v>
      </c>
      <c r="L8" s="22">
        <f t="shared" si="5"/>
        <v>9.8667496886674977E-2</v>
      </c>
      <c r="M8" s="228">
        <f t="shared" si="6"/>
        <v>9.8667496886674977E-2</v>
      </c>
      <c r="N8" s="233">
        <v>3</v>
      </c>
      <c r="O8" s="2"/>
      <c r="P8" s="22"/>
      <c r="Q8" s="59" t="s">
        <v>73</v>
      </c>
      <c r="R8" s="226">
        <f>IF($B$68=0,0,(SUMIF($N$6:$N$20,$U8,K$6:K$20)+SUMIF($N$78:$N$100,$U8,K$78:K$100))*$I$70*Poor!$B$68/$B$68)</f>
        <v>4838.3999999999996</v>
      </c>
      <c r="S8" s="226">
        <f>IF($B$68=0,0,(SUMIF($N$6:$N$20,$U8,L$6:L$20)+SUMIF($N$78:$N$100,$U8,L$78:L$100))*$I$70*Poor!$B$68/$B$68)</f>
        <v>4406.3999999999996</v>
      </c>
      <c r="T8" s="226">
        <f>IF($B$68=0,0,(SUMIF($N$6:$N$20,$U8,M$6:M$20)+SUMIF($N$78:$N$100,$U8,M$78:M$100))*$I$70*Poor!$B$68/$B$68)</f>
        <v>4443.9398690766129</v>
      </c>
      <c r="U8" s="227">
        <v>2</v>
      </c>
      <c r="V8" s="56"/>
      <c r="W8" s="114"/>
      <c r="X8" s="117">
        <f>Poor!X8</f>
        <v>1</v>
      </c>
      <c r="Y8" s="184">
        <f t="shared" si="9"/>
        <v>0.39466998754669991</v>
      </c>
      <c r="Z8" s="124">
        <f>IF($Y8=0,0,AA8/$Y8)</f>
        <v>0.24532311011948979</v>
      </c>
      <c r="AA8" s="120">
        <f>IF($X8=1,IF(SUM(AA$6,AA$12:AA$21)&lt;1,IF((1-SUM(AA$6,AA$12:AA$21))*$M8/SUM($M$7*IF($X$7=1,1,0),$M$8*IF($X$8=1,1,0),$M$9*IF($X$9=1,1,0),$M$10*IF($X$10=1,1,0),$M$11*IF($X$11=1,1,0))&lt;Y8,(1-SUM(AA$6,AA$12:AA$21))*$M8/SUM($M$7*IF($X$7=1,1,0),$M$8*IF($X$8=1,1,0),$M$9*IF($X$9=1,1,0),$M$10*IF($X$10=1,1,0),$M$11*IF($X$11=1,1,0)),Y8),0),0)</f>
        <v>9.6821668815776724E-2</v>
      </c>
      <c r="AB8" s="124">
        <f>IF($Y8=0,0,AC8/$Y8)</f>
        <v>0.48045133075799235</v>
      </c>
      <c r="AC8" s="120">
        <f>IF($X8&lt;3,IF(SUM(AC$6,AC$12:AC$21)&lt;1,IF(SUM(AC$6,AC$12:AC$21)+SUM((Y$7-AA$7)*IF($X$7&lt;3,1,0),(Y$8-AA$8)*IF($X$8&lt;3,1,0),(Y$9-AA$9)*IF($X$9&lt;3,1,0),(Y$10-AA$10)*IF($X$10&lt;3,1,0),(Y$11-AA$11)*IF($X$11&lt;3,1,0))&lt;1,Y8-AA8,IF((1-SUM(AC$6,AC$12:AC$21))*$M8/SUM($M$7*IF($X$7&lt;3,1,0),$M$8*IF($X$8&lt;3,1,0),$M$9*IF($X$9&lt;3,1,0),$M$10*IF($X$10&lt;3,1,0),$M$11*IF($X$11&lt;3,1,0))&lt;Y8-AA8,(1-SUM(AC$6,AC$12:AC$21))*$M8/SUM($M$7*IF($X$7&lt;3,1,0),$M$8*IF($X$8&lt;3,1,0),$M$9*IF($X$9&lt;3,1,0),$M$10*IF($X$10&lt;3,1,0),$M$11*IF($X$11&lt;3,1,0)),Y8-AA8)),0),0)</f>
        <v>0.18961972072705224</v>
      </c>
      <c r="AD8" s="124">
        <f>IF($Y8=0,0,AE8/$Y8)</f>
        <v>0.22482166867360368</v>
      </c>
      <c r="AE8" s="120">
        <f>IF($X8&lt;4,IF(SUM(AE$6:AE$6,AE$12:AE$21)&lt;1,IF(SUM(AE$6:AE$6,AE$12:AE$21)+SUM((Y$7-AA$7-AC$7)*IF($X$7&lt;3,1,0),(Y$8-AA$8-AC$8)*IF($X$8&lt;3,1,0),(Y$9-AA$9-AC$9)*IF($X$9&lt;3,1,0),(Y$10-AA$10-AC$10)*IF($X$10&lt;3,1,0),(Y$11-AA$11-AC$11)*IF($X$11&lt;3,1,0))&lt;1,Y8-AA8-AC8,IF((1-SUM(AE$6:AE$6,AE$12:AE$21))*$M8/SUM($M$7*IF($X$7&lt;4,1,0),$M$8*IF($X$8&lt;4,1,0),$M$9*IF($X$9&lt;4,1,0),$M$10*IF($X$10&lt;4,1,0),$M$11*IF($X$11&lt;4,1,0))&lt;Y8-AA8-AC8,(1-SUM(AE$6:AE$6,AE$12:AE$21))*$M8/SUM($M$7*IF($X$7&lt;4,1,0),$M$8*IF($X$8&lt;4,1,0),$M$9*IF($X$9&lt;4,1,0),$M$10*IF($X$10&lt;4,1,0),$M$11*IF($X$11&lt;4,1,0)),Y8-AA8-AC8)),0),0)</f>
        <v>8.8730365175639453E-2</v>
      </c>
      <c r="AF8" s="121">
        <f t="shared" si="10"/>
        <v>4.9403890448914245E-2</v>
      </c>
      <c r="AG8" s="120">
        <f t="shared" si="11"/>
        <v>1.9498232828231512E-2</v>
      </c>
      <c r="AH8" s="122">
        <f t="shared" si="12"/>
        <v>1</v>
      </c>
      <c r="AI8" s="184">
        <f t="shared" si="13"/>
        <v>9.8667496886674977E-2</v>
      </c>
      <c r="AJ8" s="119">
        <f t="shared" si="14"/>
        <v>0.14322069477141447</v>
      </c>
      <c r="AK8" s="118">
        <f t="shared" si="15"/>
        <v>5.4114299001935484E-2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0">
        <f>IF([1]Summ!$J1047="",0,[1]Summ!$J1047)</f>
        <v>0.11355978082191778</v>
      </c>
      <c r="C9" s="101">
        <f>IF([1]Summ!$K1047="",0,[1]Summ!$K1047)</f>
        <v>0.90847824657534249</v>
      </c>
      <c r="D9" s="24">
        <f t="shared" si="0"/>
        <v>1.0220380273972602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1.0220380273972602</v>
      </c>
      <c r="J9" s="24">
        <f t="shared" si="3"/>
        <v>0.1058200943578225</v>
      </c>
      <c r="K9" s="22">
        <f t="shared" si="4"/>
        <v>0.11355978082191778</v>
      </c>
      <c r="L9" s="22">
        <f t="shared" si="5"/>
        <v>0.11355978082191778</v>
      </c>
      <c r="M9" s="228">
        <f t="shared" si="6"/>
        <v>0.1058200943578225</v>
      </c>
      <c r="N9" s="233">
        <v>1</v>
      </c>
      <c r="O9" s="2"/>
      <c r="P9" s="22"/>
      <c r="Q9" s="59" t="s">
        <v>74</v>
      </c>
      <c r="R9" s="226">
        <f>IF($B$68=0,0,(SUMIF($N$6:$N$20,$U9,K$6:K$20)+SUMIF($N$78:$N$100,$U9,K$78:K$100))*$I$70*Poor!$B$68/$B$68)</f>
        <v>1349.2615307145268</v>
      </c>
      <c r="S9" s="226">
        <f>IF($B$68=0,0,(SUMIF($N$6:$N$20,$U9,L$6:L$20)+SUMIF($N$78:$N$100,$U9,L$78:L$100))*$I$70*Poor!$B$68/$B$68)</f>
        <v>1349.2615307145268</v>
      </c>
      <c r="T9" s="226">
        <f>IF($B$68=0,0,(SUMIF($N$6:$N$20,$U9,M$6:M$20)+SUMIF($N$78:$N$100,$U9,M$78:M$100))*$I$70*Poor!$B$68/$B$68)</f>
        <v>1349.2615307145268</v>
      </c>
      <c r="U9" s="227">
        <v>3</v>
      </c>
      <c r="V9" s="56"/>
      <c r="W9" s="114"/>
      <c r="X9" s="117">
        <f>Poor!X9</f>
        <v>1</v>
      </c>
      <c r="Y9" s="184">
        <f t="shared" si="9"/>
        <v>0.42328037743128999</v>
      </c>
      <c r="Z9" s="124">
        <f>IF($Y9=0,0,AA9/$Y9)</f>
        <v>0.24532311011948976</v>
      </c>
      <c r="AA9" s="120">
        <f>IF($X9=1,IF(SUM(AA$6,AA$12:AA$21)&lt;1,IF((1-SUM(AA$6,AA$12:AA$21))*$M9/SUM($M$7*IF($X$7=1,1,0),$M$8*IF($X$8=1,1,0),$M$9*IF($X$9=1,1,0),$M$10*IF($X$10=1,1,0),$M$11*IF($X$11=1,1,0))&lt;Y9,(1-SUM(AA$6,AA$12:AA$21))*$M9/SUM($M$7*IF($X$7=1,1,0),$M$8*IF($X$8=1,1,0),$M$9*IF($X$9=1,1,0),$M$10*IF($X$10=1,1,0),$M$11*IF($X$11=1,1,0)),Y9),0),0)</f>
        <v>0.10384045864399555</v>
      </c>
      <c r="AB9" s="124">
        <f>IF($Y9=0,0,AC9/$Y9)</f>
        <v>0.48045133075799235</v>
      </c>
      <c r="AC9" s="120">
        <f>IF($X9&lt;3,IF(SUM(AC$6,AC$12:AC$21)&lt;1,IF(SUM(AC$6,AC$12:AC$21)+SUM((Y$7-AA$7)*IF($X$7&lt;3,1,0),(Y$8-AA$8)*IF($X$8&lt;3,1,0),(Y$9-AA$9)*IF($X$9&lt;3,1,0),(Y$10-AA$10)*IF($X$10&lt;3,1,0),(Y$11-AA$11)*IF($X$11&lt;3,1,0))&lt;1,Y9-AA9,IF((1-SUM(AC$6,AC$12:AC$21))*$M9/SUM($M$7*IF($X$7&lt;3,1,0),$M$8*IF($X$8&lt;3,1,0),$M$9*IF($X$9&lt;3,1,0),$M$10*IF($X$10&lt;3,1,0),$M$11*IF($X$11&lt;3,1,0))&lt;Y9-AA9,(1-SUM(AC$6,AC$12:AC$21))*$M9/SUM($M$7*IF($X$7&lt;3,1,0),$M$8*IF($X$8&lt;3,1,0),$M$9*IF($X$9&lt;3,1,0),$M$10*IF($X$10&lt;3,1,0),$M$11*IF($X$11&lt;3,1,0)),Y9-AA9)),0),0)</f>
        <v>0.20336562062060853</v>
      </c>
      <c r="AD9" s="124">
        <f>IF($Y9=0,0,AE9/$Y9)</f>
        <v>0.22482166867360368</v>
      </c>
      <c r="AE9" s="120">
        <f>IF($X9&lt;4,IF(SUM(AE$6:AE$6,AE$12:AE$21)&lt;1,IF(SUM(AE$6:AE$6,AE$12:AE$21)+SUM((Y$7-AA$7-AC$7)*IF($X$7&lt;3,1,0),(Y$8-AA$8-AC$8)*IF($X$8&lt;3,1,0),(Y$9-AA$9-AC$9)*IF($X$9&lt;3,1,0),(Y$10-AA$10-AC$10)*IF($X$10&lt;3,1,0),(Y$11-AA$11-AC$11)*IF($X$11&lt;3,1,0))&lt;1,Y9-AA9-AC9,IF((1-SUM(AE$6:AE$6,AE$12:AE$21))*$M9/SUM($M$7*IF($X$7&lt;4,1,0),$M$8*IF($X$8&lt;4,1,0),$M$9*IF($X$9&lt;4,1,0),$M$10*IF($X$10&lt;4,1,0),$M$11*IF($X$11&lt;4,1,0))&lt;Y9-AA9-AC9,(1-SUM(AE$6:AE$6,AE$12:AE$21))*$M9/SUM($M$7*IF($X$7&lt;4,1,0),$M$8*IF($X$8&lt;4,1,0),$M$9*IF($X$9&lt;4,1,0),$M$10*IF($X$10&lt;4,1,0),$M$11*IF($X$11&lt;4,1,0)),Y9-AA9-AC9)),0),0)</f>
        <v>9.5162600770895389E-2</v>
      </c>
      <c r="AF9" s="121">
        <f t="shared" si="10"/>
        <v>4.9403890448914245E-2</v>
      </c>
      <c r="AG9" s="120">
        <f t="shared" si="11"/>
        <v>2.0911697395790525E-2</v>
      </c>
      <c r="AH9" s="122">
        <f t="shared" si="12"/>
        <v>1</v>
      </c>
      <c r="AI9" s="184">
        <f t="shared" si="13"/>
        <v>0.1058200943578225</v>
      </c>
      <c r="AJ9" s="119">
        <f t="shared" si="14"/>
        <v>0.15360303963230204</v>
      </c>
      <c r="AK9" s="118">
        <f t="shared" si="15"/>
        <v>5.8037149083342954E-2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Sorghum: kg produced</v>
      </c>
      <c r="B10" s="100">
        <f>IF([1]Summ!$J1048="",0,[1]Summ!$J1048)</f>
        <v>3.7019028642590282E-2</v>
      </c>
      <c r="C10" s="101">
        <f>IF([1]Summ!$K1048="",0,[1]Summ!$K1048)</f>
        <v>0</v>
      </c>
      <c r="D10" s="24">
        <f t="shared" si="0"/>
        <v>3.7019028642590282E-2</v>
      </c>
      <c r="E10" s="75">
        <f>Middle!E10</f>
        <v>1</v>
      </c>
      <c r="H10" s="24">
        <f t="shared" si="1"/>
        <v>1</v>
      </c>
      <c r="I10" s="22">
        <f t="shared" si="2"/>
        <v>3.7019028642590282E-2</v>
      </c>
      <c r="J10" s="24">
        <f t="shared" si="3"/>
        <v>3.7019028642590282E-2</v>
      </c>
      <c r="K10" s="22">
        <f t="shared" si="4"/>
        <v>3.7019028642590282E-2</v>
      </c>
      <c r="L10" s="22">
        <f t="shared" si="5"/>
        <v>3.7019028642590282E-2</v>
      </c>
      <c r="M10" s="228">
        <f t="shared" si="6"/>
        <v>3.7019028642590282E-2</v>
      </c>
      <c r="N10" s="233">
        <v>1</v>
      </c>
      <c r="O10" s="2"/>
      <c r="P10" s="22"/>
      <c r="Q10" s="59" t="s">
        <v>75</v>
      </c>
      <c r="R10" s="226">
        <f>IF($B$68=0,0,(SUMIF($N$6:$N$20,$U10,K$6:K$20)+SUMIF($N$78:$N$100,$U10,K$78:K$100))*$I$70*Poor!$B$68/$B$68)</f>
        <v>0</v>
      </c>
      <c r="S10" s="226">
        <f>IF($B$68=0,0,(SUMIF($N$6:$N$20,$U10,L$6:L$20)+SUMIF($N$78:$N$100,$U10,L$78:L$100))*$I$70*Poor!$B$68/$B$68)</f>
        <v>0</v>
      </c>
      <c r="T10" s="226">
        <f>IF($B$68=0,0,(SUMIF($N$6:$N$20,$U10,M$6:M$20)+SUMIF($N$78:$N$100,$U10,M$78:M$100))*$I$70*Poor!$B$68/$B$68)</f>
        <v>0</v>
      </c>
      <c r="U10" s="227">
        <v>4</v>
      </c>
      <c r="V10" s="56"/>
      <c r="W10" s="114"/>
      <c r="X10" s="117">
        <f>Poor!X10</f>
        <v>1</v>
      </c>
      <c r="Y10" s="184">
        <f t="shared" si="9"/>
        <v>0.14807611457036113</v>
      </c>
      <c r="Z10" s="124">
        <f>IF($Y10=0,0,AA10/$Y10)</f>
        <v>0.24532311011948979</v>
      </c>
      <c r="AA10" s="120">
        <f>IF($X10=1,IF(SUM(AA$6,AA$12:AA$21)&lt;1,IF((1-SUM(AA$6,AA$12:AA$21))*$M10/SUM($M$7*IF($X$7=1,1,0),$M$8*IF($X$8=1,1,0),$M$9*IF($X$9=1,1,0),$M$10*IF($X$10=1,1,0),$M$11*IF($X$11=1,1,0))&lt;Y10,(1-SUM(AA$6,AA$12:AA$21))*$M10/SUM($M$7*IF($X$7=1,1,0),$M$8*IF($X$8=1,1,0),$M$9*IF($X$9=1,1,0),$M$10*IF($X$10=1,1,0),$M$11*IF($X$11=1,1,0)),Y10),0),0)</f>
        <v>3.6326492960810891E-2</v>
      </c>
      <c r="AB10" s="124">
        <f>IF($Y10=0,0,AC10/$Y10)</f>
        <v>0.48045133075799235</v>
      </c>
      <c r="AC10" s="120">
        <f>IF($X10&lt;3,IF(SUM(AC$6,AC$12:AC$21)&lt;1,IF(SUM(AC$6,AC$12:AC$21)+SUM((Y$7-AA$7)*IF($X$7&lt;3,1,0),(Y$8-AA$8)*IF($X$8&lt;3,1,0),(Y$9-AA$9)*IF($X$9&lt;3,1,0),(Y$10-AA$10)*IF($X$10&lt;3,1,0),(Y$11-AA$11)*IF($X$11&lt;3,1,0))&lt;1,Y10-AA10,IF((1-SUM(AC$6,AC$12:AC$21))*$M10/SUM($M$7*IF($X$7&lt;3,1,0),$M$8*IF($X$8&lt;3,1,0),$M$9*IF($X$9&lt;3,1,0),$M$10*IF($X$10&lt;3,1,0),$M$11*IF($X$11&lt;3,1,0))&lt;Y10-AA10,(1-SUM(AC$6,AC$12:AC$21))*$M10/SUM($M$7*IF($X$7&lt;3,1,0),$M$8*IF($X$8&lt;3,1,0),$M$9*IF($X$9&lt;3,1,0),$M$10*IF($X$10&lt;3,1,0),$M$11*IF($X$11&lt;3,1,0)),Y10-AA10)),0),0)</f>
        <v>7.114336629880294E-2</v>
      </c>
      <c r="AD10" s="124">
        <f>IF($Y10=0,0,AE10/$Y10)</f>
        <v>0.22482166867360368</v>
      </c>
      <c r="AE10" s="120">
        <f>IF($X10&lt;4,IF(SUM(AE$6:AE$6,AE$12:AE$21)&lt;1,IF(SUM(AE$6:AE$6,AE$12:AE$21)+SUM((Y$7-AA$7-AC$7)*IF($X$7&lt;3,1,0),(Y$8-AA$8-AC$8)*IF($X$8&lt;3,1,0),(Y$9-AA$9-AC$9)*IF($X$9&lt;3,1,0),(Y$10-AA$10-AC$10)*IF($X$10&lt;3,1,0),(Y$11-AA$11-AC$11)*IF($X$11&lt;3,1,0))&lt;1,Y10-AA10-AC10,IF((1-SUM(AE$6:AE$6,AE$12:AE$21))*$M10/SUM($M$7*IF($X$7&lt;4,1,0),$M$8*IF($X$8&lt;4,1,0),$M$9*IF($X$9&lt;4,1,0),$M$10*IF($X$10&lt;4,1,0),$M$11*IF($X$11&lt;4,1,0))&lt;Y10-AA10-AC10,(1-SUM(AE$6:AE$6,AE$12:AE$21))*$M10/SUM($M$7*IF($X$7&lt;4,1,0),$M$8*IF($X$8&lt;4,1,0),$M$9*IF($X$9&lt;4,1,0),$M$10*IF($X$10&lt;4,1,0),$M$11*IF($X$11&lt;4,1,0)),Y10-AA10-AC10)),0),0)</f>
        <v>3.3290719168412308E-2</v>
      </c>
      <c r="AF10" s="121">
        <f t="shared" si="10"/>
        <v>4.9403890448914245E-2</v>
      </c>
      <c r="AG10" s="120">
        <f t="shared" si="11"/>
        <v>7.3155361423349954E-3</v>
      </c>
      <c r="AH10" s="122">
        <f t="shared" si="12"/>
        <v>1</v>
      </c>
      <c r="AI10" s="184">
        <f t="shared" si="13"/>
        <v>3.7019028642590282E-2</v>
      </c>
      <c r="AJ10" s="119">
        <f t="shared" si="14"/>
        <v>5.3734929629806916E-2</v>
      </c>
      <c r="AK10" s="118">
        <f t="shared" si="15"/>
        <v>2.0303127655373652E-2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Cowpeas: kg produced</v>
      </c>
      <c r="B11" s="100">
        <f>IF([1]Summ!$J1049="",0,[1]Summ!$J1049)</f>
        <v>0.14181937733499375</v>
      </c>
      <c r="C11" s="101">
        <f>IF([1]Summ!$K1049="",0,[1]Summ!$K1049)</f>
        <v>0</v>
      </c>
      <c r="D11" s="24">
        <f t="shared" si="0"/>
        <v>0.14181937733499375</v>
      </c>
      <c r="E11" s="75">
        <f>Middle!E11</f>
        <v>1</v>
      </c>
      <c r="H11" s="24">
        <f t="shared" si="1"/>
        <v>1</v>
      </c>
      <c r="I11" s="22">
        <f t="shared" si="2"/>
        <v>0.14181937733499375</v>
      </c>
      <c r="J11" s="24">
        <f t="shared" si="3"/>
        <v>0.14181937733499375</v>
      </c>
      <c r="K11" s="22">
        <f t="shared" si="4"/>
        <v>0.14181937733499375</v>
      </c>
      <c r="L11" s="22">
        <f t="shared" si="5"/>
        <v>0.14181937733499375</v>
      </c>
      <c r="M11" s="228">
        <f t="shared" si="6"/>
        <v>0.14181937733499375</v>
      </c>
      <c r="N11" s="233">
        <v>1</v>
      </c>
      <c r="O11" s="2"/>
      <c r="P11" s="22"/>
      <c r="Q11" s="59" t="s">
        <v>76</v>
      </c>
      <c r="R11" s="226">
        <f>IF($B$68=0,0,(SUMIF($N$6:$N$20,$U11,K$6:K$20)+SUMIF($N$78:$N$100,$U11,K$78:K$100))*$I$70*Poor!$B$68/$B$68)</f>
        <v>23654.400000000005</v>
      </c>
      <c r="S11" s="226">
        <f>IF($B$68=0,0,(SUMIF($N$6:$N$20,$U11,L$6:L$20)+SUMIF($N$78:$N$100,$U11,L$78:L$100))*$I$70*Poor!$B$68/$B$68)</f>
        <v>23308.800000000007</v>
      </c>
      <c r="T11" s="226">
        <f>IF($B$68=0,0,(SUMIF($N$6:$N$20,$U11,M$6:M$20)+SUMIF($N$78:$N$100,$U11,M$78:M$100))*$I$70*Poor!$B$68/$B$68)</f>
        <v>23295.427955132844</v>
      </c>
      <c r="U11" s="227">
        <v>5</v>
      </c>
      <c r="V11" s="56"/>
      <c r="W11" s="114"/>
      <c r="X11" s="117">
        <f>Poor!X11</f>
        <v>1</v>
      </c>
      <c r="Y11" s="184">
        <f t="shared" si="9"/>
        <v>0.56727750933997501</v>
      </c>
      <c r="Z11" s="124">
        <f>IF($Y11=0,0,AA11/$Y11)</f>
        <v>0.24532311011948976</v>
      </c>
      <c r="AA11" s="120">
        <f>IF($X11=1,IF(SUM(AA$6,AA$12:AA$21)&lt;1,IF((1-SUM(AA$6,AA$12:AA$21))*$M11/SUM($M$7*IF($X$7=1,1,0),$M$8*IF($X$8=1,1,0),$M$9*IF($X$9=1,1,0),$M$10*IF($X$10=1,1,0),$M$11*IF($X$11=1,1,0))&lt;Y11,(1-SUM(AA$6,AA$12:AA$21))*$M11/SUM($M$7*IF($X$7=1,1,0),$M$8*IF($X$8=1,1,0),$M$9*IF($X$9=1,1,0),$M$10*IF($X$10=1,1,0),$M$11*IF($X$11=1,1,0)),Y11),0),0)</f>
        <v>0.13916628289212057</v>
      </c>
      <c r="AB11" s="124">
        <f>IF($Y11=0,0,AC11/$Y11)</f>
        <v>0.48045133075799235</v>
      </c>
      <c r="AC11" s="120">
        <f>IF($X11&lt;3,IF(SUM(AC$6,AC$12:AC$21)&lt;1,IF(SUM(AC$6,AC$12:AC$21)+SUM((Y$7-AA$7)*IF($X$7&lt;3,1,0),(Y$8-AA$8)*IF($X$8&lt;3,1,0),(Y$9-AA$9)*IF($X$9&lt;3,1,0),(Y$10-AA$10)*IF($X$10&lt;3,1,0),(Y$11-AA$11)*IF($X$11&lt;3,1,0))&lt;1,Y11-AA11,IF((1-SUM(AC$6,AC$12:AC$21))*$M11/SUM($M$7*IF($X$7&lt;3,1,0),$M$8*IF($X$8&lt;3,1,0),$M$9*IF($X$9&lt;3,1,0),$M$10*IF($X$10&lt;3,1,0),$M$11*IF($X$11&lt;3,1,0))&lt;Y11-AA11,(1-SUM(AC$6,AC$12:AC$21))*$M11/SUM($M$7*IF($X$7&lt;3,1,0),$M$8*IF($X$8&lt;3,1,0),$M$9*IF($X$9&lt;3,1,0),$M$10*IF($X$10&lt;3,1,0),$M$11*IF($X$11&lt;3,1,0)),Y11-AA11)),0),0)</f>
        <v>0.27254923427147043</v>
      </c>
      <c r="AD11" s="124">
        <f>IF($Y11=0,0,AE11/$Y11)</f>
        <v>0.22482166867360368</v>
      </c>
      <c r="AE11" s="120">
        <f>IF($X11&lt;4,IF(SUM(AE$6:AE$6,AE$12:AE$21)&lt;1,IF(SUM(AE$6:AE$6,AE$12:AE$21)+SUM((Y$7-AA$7-AC$7)*IF($X$7&lt;3,1,0),(Y$8-AA$8-AC$8)*IF($X$8&lt;3,1,0),(Y$9-AA$9-AC$9)*IF($X$9&lt;3,1,0),(Y$10-AA$10-AC$10)*IF($X$10&lt;3,1,0),(Y$11-AA$11-AC$11)*IF($X$11&lt;3,1,0))&lt;1,Y11-AA11-AC11,IF((1-SUM(AE$6:AE$6,AE$12:AE$21))*$M11/SUM($M$7*IF($X$7&lt;4,1,0),$M$8*IF($X$8&lt;4,1,0),$M$9*IF($X$9&lt;4,1,0),$M$10*IF($X$10&lt;4,1,0),$M$11*IF($X$11&lt;4,1,0))&lt;Y11-AA11-AC11,(1-SUM(AE$6:AE$6,AE$12:AE$21))*$M11/SUM($M$7*IF($X$7&lt;4,1,0),$M$8*IF($X$8&lt;4,1,0),$M$9*IF($X$9&lt;4,1,0),$M$10*IF($X$10&lt;4,1,0),$M$11*IF($X$11&lt;4,1,0)),Y11-AA11-AC11)),0),0)</f>
        <v>0.12753627625081898</v>
      </c>
      <c r="AF11" s="121">
        <f t="shared" si="10"/>
        <v>4.9403890448914245E-2</v>
      </c>
      <c r="AG11" s="120">
        <f t="shared" si="11"/>
        <v>2.8025715925565051E-2</v>
      </c>
      <c r="AH11" s="122">
        <f t="shared" si="12"/>
        <v>1</v>
      </c>
      <c r="AI11" s="184">
        <f t="shared" si="13"/>
        <v>0.14181937733499375</v>
      </c>
      <c r="AJ11" s="119">
        <f t="shared" si="14"/>
        <v>0.2058577585817955</v>
      </c>
      <c r="AK11" s="118">
        <f t="shared" si="15"/>
        <v>7.7780996088192014E-2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0">
        <f>IF([1]Summ!$J1050="",0,[1]Summ!$J1050)</f>
        <v>0.13256462017434623</v>
      </c>
      <c r="C12" s="101">
        <f>IF([1]Summ!$K1050="",0,[1]Summ!$K1050)</f>
        <v>0</v>
      </c>
      <c r="D12" s="24">
        <f t="shared" si="0"/>
        <v>0.13256462017434623</v>
      </c>
      <c r="E12" s="75">
        <f>Middle!E12</f>
        <v>1</v>
      </c>
      <c r="H12" s="24">
        <f t="shared" si="1"/>
        <v>1</v>
      </c>
      <c r="I12" s="22">
        <f t="shared" si="2"/>
        <v>0.13256462017434623</v>
      </c>
      <c r="J12" s="24">
        <f t="shared" si="3"/>
        <v>0.13256462017434623</v>
      </c>
      <c r="K12" s="22">
        <f t="shared" si="4"/>
        <v>0.13256462017434623</v>
      </c>
      <c r="L12" s="22">
        <f t="shared" si="5"/>
        <v>0.13256462017434623</v>
      </c>
      <c r="M12" s="228">
        <f t="shared" si="6"/>
        <v>0.13256462017434623</v>
      </c>
      <c r="N12" s="233">
        <v>1</v>
      </c>
      <c r="O12" s="2"/>
      <c r="P12" s="22"/>
      <c r="Q12" s="125" t="s">
        <v>125</v>
      </c>
      <c r="R12" s="226">
        <f>IF($B$68=0,0,(SUMIF($N$6:$N$20,$U12,K$6:K$20)+SUMIF($N$78:$N$100,$U12,K$78:K$100))*$I$70*Poor!$B$68/$B$68)</f>
        <v>0</v>
      </c>
      <c r="S12" s="226">
        <f>IF($B$68=0,0,(SUMIF($N$6:$N$20,$U12,L$6:L$20)+SUMIF($N$78:$N$100,$U12,L$78:L$100))*$I$70*Poor!$B$68/$B$68)</f>
        <v>0</v>
      </c>
      <c r="T12" s="226">
        <f>IF($B$68=0,0,(SUMIF($N$6:$N$20,$U12,M$6:M$20)+SUMIF($N$78:$N$100,$U12,M$78:M$100))*$I$70*Poor!$B$68/$B$68)</f>
        <v>0</v>
      </c>
      <c r="U12" s="227">
        <v>6</v>
      </c>
      <c r="V12" s="56"/>
      <c r="W12" s="116"/>
      <c r="X12" s="117"/>
      <c r="Y12" s="184">
        <f t="shared" si="9"/>
        <v>0.5302584806973849</v>
      </c>
      <c r="Z12" s="155">
        <f>Poor!Z12</f>
        <v>0</v>
      </c>
      <c r="AA12" s="120">
        <f>$M12*Z12*4</f>
        <v>0</v>
      </c>
      <c r="AB12" s="155">
        <f>Poor!AB12</f>
        <v>0</v>
      </c>
      <c r="AC12" s="120">
        <f>$M12*AB12*4</f>
        <v>0</v>
      </c>
      <c r="AD12" s="155">
        <f>Poor!AD12</f>
        <v>0.67</v>
      </c>
      <c r="AE12" s="120">
        <f>$M12*AD12*4</f>
        <v>0.35527318206724789</v>
      </c>
      <c r="AF12" s="121">
        <f>1-SUM(Z12,AB12,AD12)</f>
        <v>0.32999999999999996</v>
      </c>
      <c r="AG12" s="120">
        <f>$M12*AF12*4</f>
        <v>0.17498529863013701</v>
      </c>
      <c r="AH12" s="122">
        <f t="shared" si="12"/>
        <v>1</v>
      </c>
      <c r="AI12" s="184">
        <f t="shared" si="13"/>
        <v>0.13256462017434623</v>
      </c>
      <c r="AJ12" s="119">
        <f t="shared" si="14"/>
        <v>0</v>
      </c>
      <c r="AK12" s="118">
        <f t="shared" si="15"/>
        <v>0.26512924034869245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Groundnuts (dry): no. local meas</v>
      </c>
      <c r="B13" s="100">
        <f>IF([1]Summ!$J1051="",0,[1]Summ!$J1051)</f>
        <v>9.0130759651307596E-2</v>
      </c>
      <c r="C13" s="101">
        <f>IF([1]Summ!$K1051="",0,[1]Summ!$K1051)</f>
        <v>0</v>
      </c>
      <c r="D13" s="24">
        <f t="shared" si="0"/>
        <v>9.0130759651307596E-2</v>
      </c>
      <c r="E13" s="75">
        <f>Middle!E13</f>
        <v>1</v>
      </c>
      <c r="H13" s="24">
        <f t="shared" si="1"/>
        <v>1</v>
      </c>
      <c r="I13" s="22">
        <f t="shared" si="2"/>
        <v>9.0130759651307596E-2</v>
      </c>
      <c r="J13" s="24">
        <f t="shared" si="3"/>
        <v>9.0130759651307596E-2</v>
      </c>
      <c r="K13" s="22">
        <f t="shared" si="4"/>
        <v>9.0130759651307596E-2</v>
      </c>
      <c r="L13" s="22">
        <f t="shared" si="5"/>
        <v>9.0130759651307596E-2</v>
      </c>
      <c r="M13" s="229">
        <f t="shared" si="6"/>
        <v>9.0130759651307596E-2</v>
      </c>
      <c r="N13" s="233">
        <v>1</v>
      </c>
      <c r="O13" s="2"/>
      <c r="P13" s="22"/>
      <c r="Q13" s="59" t="s">
        <v>77</v>
      </c>
      <c r="R13" s="226">
        <f>IF($B$68=0,0,(SUMIF($N$6:$N$20,$U13,K$6:K$20)+SUMIF($N$78:$N$100,$U13,K$78:K$100))*$I$70*Poor!$B$68/$B$68)</f>
        <v>0</v>
      </c>
      <c r="S13" s="226">
        <f>IF($B$68=0,0,(SUMIF($N$6:$N$20,$U13,L$6:L$20)+SUMIF($N$78:$N$100,$U13,L$78:L$100))*$I$70*Poor!$B$68/$B$68)</f>
        <v>0</v>
      </c>
      <c r="T13" s="226">
        <f>IF($B$68=0,0,(SUMIF($N$6:$N$20,$U13,M$6:M$20)+SUMIF($N$78:$N$100,$U13,M$78:M$100))*$I$70*Poor!$B$68/$B$68)</f>
        <v>0</v>
      </c>
      <c r="U13" s="227">
        <v>7</v>
      </c>
      <c r="V13" s="56"/>
      <c r="W13" s="109"/>
      <c r="X13" s="117"/>
      <c r="Y13" s="184">
        <f t="shared" si="9"/>
        <v>0.36052303860523038</v>
      </c>
      <c r="Z13" s="155">
        <f>Poor!Z13</f>
        <v>1</v>
      </c>
      <c r="AA13" s="120">
        <f>$M13*Z13*4</f>
        <v>0.36052303860523038</v>
      </c>
      <c r="AB13" s="155">
        <f>Poor!AB13</f>
        <v>0</v>
      </c>
      <c r="AC13" s="120">
        <f>$M13*AB13*4</f>
        <v>0</v>
      </c>
      <c r="AD13" s="155">
        <f>Poor!AD13</f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4">
        <f t="shared" si="13"/>
        <v>9.0130759651307596E-2</v>
      </c>
      <c r="AJ13" s="119">
        <f t="shared" si="14"/>
        <v>0.18026151930261519</v>
      </c>
      <c r="AK13" s="118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WILD FOODS -- see worksheet Data 3</v>
      </c>
      <c r="B14" s="100">
        <f>IF([1]Summ!$J1052="",0,[1]Summ!$J1052)</f>
        <v>0</v>
      </c>
      <c r="C14" s="101">
        <f>IF([1]Summ!$K1052="",0,[1]Summ!$K1052)</f>
        <v>0</v>
      </c>
      <c r="D14" s="24">
        <f t="shared" si="0"/>
        <v>0</v>
      </c>
      <c r="E14" s="75">
        <f>Middle!E14</f>
        <v>0.8</v>
      </c>
      <c r="F14" s="22"/>
      <c r="H14" s="24">
        <f t="shared" si="1"/>
        <v>0.8</v>
      </c>
      <c r="I14" s="22">
        <f t="shared" si="2"/>
        <v>0</v>
      </c>
      <c r="J14" s="24">
        <f>IF(I$24&lt;=1+I113,I14,B14*H14+J$25*(I14-B14*H14))</f>
        <v>0</v>
      </c>
      <c r="K14" s="22">
        <f t="shared" si="4"/>
        <v>0</v>
      </c>
      <c r="L14" s="22">
        <f t="shared" si="5"/>
        <v>0</v>
      </c>
      <c r="M14" s="229">
        <f t="shared" si="6"/>
        <v>0</v>
      </c>
      <c r="N14" s="233">
        <v>6</v>
      </c>
      <c r="O14" s="2"/>
      <c r="P14" s="22"/>
      <c r="Q14" s="125" t="s">
        <v>78</v>
      </c>
      <c r="R14" s="226">
        <f>IF($B$68=0,0,(SUMIF($N$6:$N$20,$U14,K$6:K$20)+SUMIF($N$78:$N$100,$U14,K$78:K$100))*$I$70*Poor!$B$68/$B$68)</f>
        <v>354816</v>
      </c>
      <c r="S14" s="226">
        <f>IF($B$68=0,0,(SUMIF($N$6:$N$20,$U14,L$6:L$20)+SUMIF($N$78:$N$100,$U14,L$78:L$100))*$I$70*Poor!$B$68/$B$68)</f>
        <v>338976</v>
      </c>
      <c r="T14" s="226">
        <f>IF($B$68=0,0,(SUMIF($N$6:$N$20,$U14,M$6:M$20)+SUMIF($N$78:$N$100,$U14,M$78:M$100))*$I$70*Poor!$B$68/$B$68)</f>
        <v>338976</v>
      </c>
      <c r="U14" s="227">
        <v>8</v>
      </c>
      <c r="V14" s="56"/>
      <c r="W14" s="109"/>
      <c r="X14" s="117"/>
      <c r="Y14" s="184">
        <f>M14*4</f>
        <v>0</v>
      </c>
      <c r="Z14" s="155">
        <f>Poor!Z14</f>
        <v>0</v>
      </c>
      <c r="AA14" s="120">
        <f t="shared" ref="AA14:AA21" si="16">$M14*Z14*4</f>
        <v>0</v>
      </c>
      <c r="AB14" s="155">
        <f>Poor!AB14</f>
        <v>1</v>
      </c>
      <c r="AC14" s="120">
        <f t="shared" si="7"/>
        <v>0</v>
      </c>
      <c r="AD14" s="155">
        <f>Poor!AD14</f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4">
        <f>SUM(AA14,AC14,AE14,AG14)/4</f>
        <v>0</v>
      </c>
      <c r="AJ14" s="119">
        <f t="shared" si="14"/>
        <v>0</v>
      </c>
      <c r="AK14" s="118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0">
        <f>IF([1]Summ!$J1053="",0,[1]Summ!$J1053)</f>
        <v>0</v>
      </c>
      <c r="C15" s="101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IF(I$24&lt;=1+I113,I15,B15*H15+J$25*(I15-B15*H15))</f>
        <v>0</v>
      </c>
      <c r="K15" s="22">
        <f t="shared" si="4"/>
        <v>0</v>
      </c>
      <c r="L15" s="22">
        <f t="shared" si="5"/>
        <v>0</v>
      </c>
      <c r="M15" s="230">
        <f t="shared" si="6"/>
        <v>0</v>
      </c>
      <c r="N15" s="233"/>
      <c r="O15" s="2"/>
      <c r="P15" s="22"/>
      <c r="Q15" s="59" t="s">
        <v>127</v>
      </c>
      <c r="R15" s="226">
        <f>IF($B$68=0,0,(SUMIF($N$6:$N$20,$U15,K$6:K$20)+SUMIF($N$78:$N$100,$U15,K$78:K$100))*$I$70*Poor!$B$68/$B$68)</f>
        <v>0</v>
      </c>
      <c r="S15" s="226">
        <f>IF($B$68=0,0,(SUMIF($N$6:$N$20,$U15,L$6:L$20)+SUMIF($N$78:$N$100,$U15,L$78:L$100))*$I$70*Poor!$B$68/$B$68)</f>
        <v>0</v>
      </c>
      <c r="T15" s="226">
        <f>IF($B$68=0,0,(SUMIF($N$6:$N$20,$U15,M$6:M$20)+SUMIF($N$78:$N$100,$U15,M$78:M$100))*$I$70*Poor!$B$68/$B$68)</f>
        <v>0</v>
      </c>
      <c r="U15" s="227">
        <v>9</v>
      </c>
      <c r="V15" s="56"/>
      <c r="W15" s="109"/>
      <c r="X15" s="117"/>
      <c r="Y15" s="184">
        <f t="shared" si="9"/>
        <v>0</v>
      </c>
      <c r="Z15" s="155">
        <f>Poor!Z15</f>
        <v>0.25</v>
      </c>
      <c r="AA15" s="120">
        <f t="shared" si="16"/>
        <v>0</v>
      </c>
      <c r="AB15" s="155">
        <f>Poor!AB15</f>
        <v>0.25</v>
      </c>
      <c r="AC15" s="120">
        <f t="shared" si="7"/>
        <v>0</v>
      </c>
      <c r="AD15" s="155">
        <f>Poor!AD15</f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4">
        <f t="shared" si="13"/>
        <v>0</v>
      </c>
      <c r="AJ15" s="119">
        <f t="shared" si="14"/>
        <v>0</v>
      </c>
      <c r="AK15" s="118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0">
        <f>IF([1]Summ!$J1054="",0,[1]Summ!$J1054)</f>
        <v>0</v>
      </c>
      <c r="C16" s="101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IF(I$24&lt;=1+I113,I16,B16*H16+J$25*(I16-B16*H16))</f>
        <v>0</v>
      </c>
      <c r="K16" s="22">
        <f t="shared" si="4"/>
        <v>0</v>
      </c>
      <c r="L16" s="22">
        <f t="shared" si="5"/>
        <v>0</v>
      </c>
      <c r="M16" s="228">
        <f t="shared" si="6"/>
        <v>0</v>
      </c>
      <c r="N16" s="233"/>
      <c r="O16" s="2"/>
      <c r="P16" s="22"/>
      <c r="Q16" s="125" t="s">
        <v>79</v>
      </c>
      <c r="R16" s="226">
        <f>IF($B$68=0,0,(SUMIF($N$6:$N$20,$U16,K$6:K$20)+SUMIF($N$78:$N$100,$U16,K$78:K$100))*$I$70*Poor!$B$68/$B$68)</f>
        <v>0</v>
      </c>
      <c r="S16" s="226">
        <f>IF($B$68=0,0,(SUMIF($N$6:$N$20,$U16,L$6:L$20)+SUMIF($N$78:$N$100,$U16,L$78:L$100))*$I$70*Poor!$B$68/$B$68)</f>
        <v>0</v>
      </c>
      <c r="T16" s="226">
        <f>IF($B$68=0,0,(SUMIF($N$6:$N$20,$U16,M$6:M$20)+SUMIF($N$78:$N$100,$U16,M$78:M$100))*$I$70*Poor!$B$68/$B$68)</f>
        <v>0</v>
      </c>
      <c r="U16" s="227">
        <v>10</v>
      </c>
      <c r="V16" s="56"/>
      <c r="W16" s="109"/>
      <c r="X16" s="117"/>
      <c r="Y16" s="184">
        <f t="shared" si="9"/>
        <v>0</v>
      </c>
      <c r="Z16" s="155">
        <f>Poor!Z16</f>
        <v>0</v>
      </c>
      <c r="AA16" s="120">
        <f t="shared" si="16"/>
        <v>0</v>
      </c>
      <c r="AB16" s="155">
        <f>Poor!AB16</f>
        <v>0</v>
      </c>
      <c r="AC16" s="120">
        <f t="shared" si="7"/>
        <v>0</v>
      </c>
      <c r="AD16" s="155">
        <f>Poor!AD16</f>
        <v>0</v>
      </c>
      <c r="AE16" s="120">
        <f t="shared" si="8"/>
        <v>0</v>
      </c>
      <c r="AF16" s="121">
        <f t="shared" si="10"/>
        <v>1</v>
      </c>
      <c r="AG16" s="120">
        <f t="shared" si="11"/>
        <v>0</v>
      </c>
      <c r="AH16" s="122">
        <f t="shared" si="12"/>
        <v>1</v>
      </c>
      <c r="AI16" s="184">
        <f t="shared" si="13"/>
        <v>0</v>
      </c>
      <c r="AJ16" s="119">
        <f t="shared" si="14"/>
        <v>0</v>
      </c>
      <c r="AK16" s="118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0">
        <f>IF([1]Summ!$J1055="",0,[1]Summ!$J1055)</f>
        <v>0</v>
      </c>
      <c r="C17" s="101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>IF(I$24&lt;=1+I113,I17,B17*H17+J$25*(I17-B17*H17))</f>
        <v>0</v>
      </c>
      <c r="K17" s="22">
        <f t="shared" si="4"/>
        <v>0</v>
      </c>
      <c r="L17" s="22">
        <f t="shared" si="5"/>
        <v>0</v>
      </c>
      <c r="M17" s="229">
        <f t="shared" si="6"/>
        <v>0</v>
      </c>
      <c r="N17" s="233"/>
      <c r="O17" s="2"/>
      <c r="P17" s="22"/>
      <c r="Q17" s="125" t="s">
        <v>126</v>
      </c>
      <c r="R17" s="226">
        <f>IF($B$68=0,0,(SUMIF($N$6:$N$20,$U17,K$6:K$20)+SUMIF($N$78:$N$100,$U17,K$78:K$100))*$I$70*Poor!$B$68/$B$68)</f>
        <v>62899.200000000012</v>
      </c>
      <c r="S17" s="226">
        <f>IF($B$68=0,0,(SUMIF($N$6:$N$20,$U17,L$6:L$20)+SUMIF($N$78:$N$100,$U17,L$78:L$100))*$I$70*Poor!$B$68/$B$68)</f>
        <v>58968.000000000015</v>
      </c>
      <c r="T17" s="226">
        <f>IF($B$68=0,0,(SUMIF($N$6:$N$20,$U17,M$6:M$20)+SUMIF($N$78:$N$100,$U17,M$78:M$100))*$I$70*Poor!$B$68/$B$68)</f>
        <v>58968.000000000015</v>
      </c>
      <c r="U17" s="227">
        <v>11</v>
      </c>
      <c r="V17" s="56"/>
      <c r="W17" s="109"/>
      <c r="X17" s="117"/>
      <c r="Y17" s="184">
        <f t="shared" si="9"/>
        <v>0</v>
      </c>
      <c r="Z17" s="155">
        <f>Poor!Z17</f>
        <v>0.29409999999999997</v>
      </c>
      <c r="AA17" s="120">
        <f t="shared" si="16"/>
        <v>0</v>
      </c>
      <c r="AB17" s="155">
        <f>Poor!AB17</f>
        <v>0.17649999999999999</v>
      </c>
      <c r="AC17" s="120">
        <f t="shared" si="7"/>
        <v>0</v>
      </c>
      <c r="AD17" s="155">
        <f>Poor!AD17</f>
        <v>0.23530000000000001</v>
      </c>
      <c r="AE17" s="120">
        <f t="shared" si="8"/>
        <v>0</v>
      </c>
      <c r="AF17" s="121">
        <f t="shared" si="10"/>
        <v>0.29410000000000003</v>
      </c>
      <c r="AG17" s="120">
        <f t="shared" si="11"/>
        <v>0</v>
      </c>
      <c r="AH17" s="122">
        <f t="shared" si="12"/>
        <v>1</v>
      </c>
      <c r="AI17" s="184">
        <f t="shared" si="13"/>
        <v>0</v>
      </c>
      <c r="AJ17" s="119">
        <f t="shared" si="14"/>
        <v>0</v>
      </c>
      <c r="AK17" s="118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Food aid</v>
      </c>
      <c r="B18" s="100">
        <f>IF([1]Summ!$J1056="",0,[1]Summ!$J1056)</f>
        <v>0</v>
      </c>
      <c r="C18" s="101">
        <f>IF([1]Summ!$K1056="",0,[1]Summ!$K1056)</f>
        <v>0</v>
      </c>
      <c r="D18" s="24">
        <f t="shared" si="0"/>
        <v>0</v>
      </c>
      <c r="E18" s="75">
        <f>Middle!E18</f>
        <v>1</v>
      </c>
      <c r="F18" s="22"/>
      <c r="H18" s="24">
        <f t="shared" si="1"/>
        <v>1</v>
      </c>
      <c r="I18" s="22">
        <f t="shared" si="2"/>
        <v>0</v>
      </c>
      <c r="J18" s="24">
        <f>IF(I$24&lt;=1+I113,I18,B18*H18+J$25*(I18-B18*H18))</f>
        <v>0</v>
      </c>
      <c r="K18" s="22">
        <f t="shared" si="4"/>
        <v>0</v>
      </c>
      <c r="L18" s="22">
        <f t="shared" si="5"/>
        <v>0</v>
      </c>
      <c r="M18" s="228">
        <f t="shared" si="6"/>
        <v>0</v>
      </c>
      <c r="N18" s="233"/>
      <c r="O18" s="2"/>
      <c r="P18" s="22"/>
      <c r="Q18" s="59" t="s">
        <v>80</v>
      </c>
      <c r="R18" s="226">
        <f>IF($B$68=0,0,(SUMIF($N$6:$N$20,$U18,K$6:K$20)+SUMIF($N$78:$N$100,$U18,K$78:K$100))*$I$70*Poor!$B$68/$B$68)</f>
        <v>23.707491712707188</v>
      </c>
      <c r="S18" s="226">
        <f>IF($B$68=0,0,(SUMIF($N$6:$N$20,$U18,L$6:L$20)+SUMIF($N$78:$N$100,$U18,L$78:L$100))*$I$70*Poor!$B$68/$B$68)</f>
        <v>23.707491712707188</v>
      </c>
      <c r="T18" s="226">
        <f>IF($B$68=0,0,(SUMIF($N$6:$N$20,$U18,M$6:M$20)+SUMIF($N$78:$N$100,$U18,M$78:M$100))*$I$70*Poor!$B$68/$B$68)</f>
        <v>23.909465236452178</v>
      </c>
      <c r="U18" s="227">
        <v>12</v>
      </c>
      <c r="V18" s="56"/>
      <c r="W18" s="109"/>
      <c r="X18" s="117"/>
      <c r="Y18" s="184">
        <f t="shared" si="9"/>
        <v>0</v>
      </c>
      <c r="Z18" s="155">
        <f>Poor!Z18</f>
        <v>0.25</v>
      </c>
      <c r="AA18" s="120">
        <f t="shared" si="16"/>
        <v>0</v>
      </c>
      <c r="AB18" s="155">
        <f>Poor!AB18</f>
        <v>0.25</v>
      </c>
      <c r="AC18" s="120">
        <f t="shared" si="7"/>
        <v>0</v>
      </c>
      <c r="AD18" s="155">
        <f>Poor!AD18</f>
        <v>0.25</v>
      </c>
      <c r="AE18" s="120">
        <f t="shared" si="8"/>
        <v>0</v>
      </c>
      <c r="AF18" s="121">
        <f t="shared" si="10"/>
        <v>0.25</v>
      </c>
      <c r="AG18" s="120">
        <f t="shared" si="11"/>
        <v>0</v>
      </c>
      <c r="AH18" s="122">
        <f t="shared" si="12"/>
        <v>1</v>
      </c>
      <c r="AI18" s="184">
        <f t="shared" si="13"/>
        <v>0</v>
      </c>
      <c r="AJ18" s="119">
        <f t="shared" si="14"/>
        <v>0</v>
      </c>
      <c r="AK18" s="118">
        <f t="shared" si="15"/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Purchase - other</v>
      </c>
      <c r="B19" s="100">
        <f>IF([1]Summ!$J1057="",0,[1]Summ!$J1057)</f>
        <v>0</v>
      </c>
      <c r="C19" s="101">
        <f>IF([1]Summ!$K1057="",0,[1]Summ!$K1057)</f>
        <v>0</v>
      </c>
      <c r="D19" s="24">
        <f t="shared" si="0"/>
        <v>0</v>
      </c>
      <c r="E19" s="75">
        <f>Middle!E19</f>
        <v>1</v>
      </c>
      <c r="F19" s="22"/>
      <c r="H19" s="24">
        <f t="shared" si="1"/>
        <v>1</v>
      </c>
      <c r="I19" s="29">
        <f t="shared" si="2"/>
        <v>0</v>
      </c>
      <c r="J19" s="97">
        <f>IF(I$24&lt;=1+I113,I19,B19*H19+J$25*(I19-B19*H19))</f>
        <v>0</v>
      </c>
      <c r="K19" s="22">
        <f t="shared" si="4"/>
        <v>0</v>
      </c>
      <c r="L19" s="22">
        <f t="shared" si="5"/>
        <v>0</v>
      </c>
      <c r="M19" s="230">
        <f t="shared" si="6"/>
        <v>0</v>
      </c>
      <c r="N19" s="233"/>
      <c r="O19" s="2"/>
      <c r="P19" s="22"/>
      <c r="Q19" s="59" t="s">
        <v>81</v>
      </c>
      <c r="R19" s="226">
        <f>IF($B$68=0,0,(SUMIF($N$6:$N$20,$U19,K$6:K$20)+SUMIF($N$78:$N$100,$U19,K$78:K$100))*$I$70*Poor!$B$68/$B$68)</f>
        <v>0</v>
      </c>
      <c r="S19" s="226">
        <f>IF($B$68=0,0,(SUMIF($N$6:$N$20,$U19,L$6:L$20)+SUMIF($N$78:$N$100,$U19,L$78:L$100))*$I$70*Poor!$B$68/$B$68)</f>
        <v>0</v>
      </c>
      <c r="T19" s="226">
        <f>IF($B$68=0,0,(SUMIF($N$6:$N$20,$U19,M$6:M$20)+SUMIF($N$78:$N$100,$U19,M$78:M$100))*$I$70*Poor!$B$68/$B$68)</f>
        <v>0</v>
      </c>
      <c r="U19" s="227">
        <v>13</v>
      </c>
      <c r="V19" s="56"/>
      <c r="W19" s="109"/>
      <c r="X19" s="117"/>
      <c r="Y19" s="184">
        <f t="shared" si="9"/>
        <v>0</v>
      </c>
      <c r="Z19" s="155">
        <f>Poor!Z19</f>
        <v>0.25</v>
      </c>
      <c r="AA19" s="120">
        <f t="shared" si="16"/>
        <v>0</v>
      </c>
      <c r="AB19" s="155">
        <f>Poor!AB19</f>
        <v>0.25</v>
      </c>
      <c r="AC19" s="120">
        <f t="shared" si="7"/>
        <v>0</v>
      </c>
      <c r="AD19" s="155">
        <f>Poor!AD19</f>
        <v>0.25</v>
      </c>
      <c r="AE19" s="120">
        <f t="shared" si="8"/>
        <v>0</v>
      </c>
      <c r="AF19" s="121">
        <f t="shared" si="10"/>
        <v>0.25</v>
      </c>
      <c r="AG19" s="120">
        <f t="shared" si="11"/>
        <v>0</v>
      </c>
      <c r="AH19" s="122">
        <f t="shared" si="12"/>
        <v>1</v>
      </c>
      <c r="AI19" s="184">
        <f t="shared" si="13"/>
        <v>0</v>
      </c>
      <c r="AJ19" s="119">
        <f t="shared" si="14"/>
        <v>0</v>
      </c>
      <c r="AK19" s="118">
        <f t="shared" si="15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Purchase - desirable</v>
      </c>
      <c r="B20" s="100">
        <f>IF([1]Summ!$J1058="",0,[1]Summ!$J1058)</f>
        <v>3.0970849315068495E-3</v>
      </c>
      <c r="C20" s="101">
        <f>IF([1]Summ!$K1058="",0,[1]Summ!$K1058)</f>
        <v>-3.0970849315068495E-3</v>
      </c>
      <c r="D20" s="24">
        <f t="shared" si="0"/>
        <v>0</v>
      </c>
      <c r="E20" s="75">
        <f>Middle!E20</f>
        <v>1</v>
      </c>
      <c r="F20" s="22"/>
      <c r="H20" s="24">
        <f t="shared" si="1"/>
        <v>1</v>
      </c>
      <c r="I20" s="29">
        <f t="shared" si="2"/>
        <v>0</v>
      </c>
      <c r="J20" s="97">
        <f>IF(I$24&lt;=1+I113,I20,B20*H20+J$25*(I20-B20*H20))</f>
        <v>3.1234702262708108E-3</v>
      </c>
      <c r="K20" s="22">
        <f t="shared" si="4"/>
        <v>3.0970849315068495E-3</v>
      </c>
      <c r="L20" s="22">
        <f t="shared" si="5"/>
        <v>3.0970849315068495E-3</v>
      </c>
      <c r="M20" s="228">
        <f t="shared" si="6"/>
        <v>3.1234702262708108E-3</v>
      </c>
      <c r="N20" s="233">
        <v>12</v>
      </c>
      <c r="O20" s="2"/>
      <c r="P20" s="22"/>
      <c r="Q20" s="59" t="s">
        <v>82</v>
      </c>
      <c r="R20" s="226">
        <f>IF($B$68=0,0,(SUMIF($N$6:$N$20,$U20,K$6:K$20)+SUMIF($N$78:$N$100,$U20,K$78:K$100))*$I$70*Poor!$B$68/$B$68)</f>
        <v>11172.541935483872</v>
      </c>
      <c r="S20" s="226">
        <f>IF($B$68=0,0,(SUMIF($N$6:$N$20,$U20,L$6:L$20)+SUMIF($N$78:$N$100,$U20,L$78:L$100))*$I$70*Poor!$B$68/$B$68)</f>
        <v>11072.787096774196</v>
      </c>
      <c r="T20" s="226">
        <f>IF($B$68=0,0,(SUMIF($N$6:$N$20,$U20,M$6:M$20)+SUMIF($N$78:$N$100,$U20,M$78:M$100))*$I$70*Poor!$B$68/$B$68)</f>
        <v>11072.787096774196</v>
      </c>
      <c r="U20" s="227">
        <v>14</v>
      </c>
      <c r="V20" s="56"/>
      <c r="W20" s="109"/>
      <c r="X20" s="117"/>
      <c r="Y20" s="184">
        <f t="shared" si="9"/>
        <v>1.2493880905083243E-2</v>
      </c>
      <c r="Z20" s="155">
        <f>Poor!Z20</f>
        <v>0</v>
      </c>
      <c r="AA20" s="120">
        <f t="shared" si="16"/>
        <v>0</v>
      </c>
      <c r="AB20" s="155">
        <f>Poor!AB20</f>
        <v>0</v>
      </c>
      <c r="AC20" s="120">
        <f t="shared" si="7"/>
        <v>0</v>
      </c>
      <c r="AD20" s="155">
        <f>Poor!AD20</f>
        <v>0.5</v>
      </c>
      <c r="AE20" s="120">
        <f t="shared" si="8"/>
        <v>6.2469404525416217E-3</v>
      </c>
      <c r="AF20" s="121">
        <f t="shared" si="10"/>
        <v>0.5</v>
      </c>
      <c r="AG20" s="120">
        <f t="shared" si="11"/>
        <v>6.2469404525416217E-3</v>
      </c>
      <c r="AH20" s="122">
        <f t="shared" si="12"/>
        <v>1</v>
      </c>
      <c r="AI20" s="184">
        <f t="shared" si="13"/>
        <v>3.1234702262708108E-3</v>
      </c>
      <c r="AJ20" s="119">
        <f t="shared" si="14"/>
        <v>0</v>
      </c>
      <c r="AK20" s="118">
        <f t="shared" si="15"/>
        <v>6.2469404525416217E-3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Purchase - fpl non staple</v>
      </c>
      <c r="B21" s="100">
        <f>IF([1]Summ!$J1059="",0,[1]Summ!$J1059)</f>
        <v>0.23250919053549191</v>
      </c>
      <c r="C21" s="101">
        <f>IF([1]Summ!$K1059="",0,[1]Summ!$K1059)</f>
        <v>0.17927990545281969</v>
      </c>
      <c r="D21" s="24">
        <f t="shared" si="0"/>
        <v>0.41178909598831159</v>
      </c>
      <c r="E21" s="75">
        <f>Middle!E21</f>
        <v>1</v>
      </c>
      <c r="F21" s="22"/>
      <c r="H21" s="24">
        <f t="shared" si="1"/>
        <v>1</v>
      </c>
      <c r="I21" s="29">
        <f t="shared" si="2"/>
        <v>0.41178909598831159</v>
      </c>
      <c r="J21" s="97">
        <f>IF(I$24&lt;=1+I113,I21,B21*H21+J$25*(I21-B21*H21))</f>
        <v>0.23098183392266364</v>
      </c>
      <c r="K21" s="22">
        <f t="shared" si="4"/>
        <v>0.23250919053549191</v>
      </c>
      <c r="L21" s="22">
        <f t="shared" si="5"/>
        <v>0.23250919053549191</v>
      </c>
      <c r="M21" s="174">
        <f t="shared" si="6"/>
        <v>0.23098183392266364</v>
      </c>
      <c r="N21" s="233"/>
      <c r="P21" s="22"/>
      <c r="Q21" s="59" t="s">
        <v>83</v>
      </c>
      <c r="R21" s="226">
        <f>IF($B$68=0,0,(SUMIF($N$6:$N$20,$U21,K$6:K$20)+SUMIF($N$78:$N$100,$U21,K$78:K$100))*$I$70*Poor!$B$68/$B$68)</f>
        <v>0</v>
      </c>
      <c r="S21" s="226">
        <f>IF($B$68=0,0,(SUMIF($N$6:$N$20,$U21,L$6:L$20)+SUMIF($N$78:$N$100,$U21,L$78:L$100))*$I$70*Poor!$B$68/$B$68)</f>
        <v>0</v>
      </c>
      <c r="T21" s="226">
        <f>IF($B$68=0,0,(SUMIF($N$6:$N$20,$U21,M$6:M$20)+SUMIF($N$78:$N$100,$U21,M$78:M$100))*$I$70*Poor!$B$68/$B$68)</f>
        <v>0</v>
      </c>
      <c r="U21" s="227">
        <v>15</v>
      </c>
      <c r="V21" s="56"/>
      <c r="W21" s="109"/>
      <c r="X21" s="117"/>
      <c r="Y21" s="184">
        <f t="shared" si="9"/>
        <v>0.92392733569065455</v>
      </c>
      <c r="Z21" s="155">
        <f>Poor!Z21</f>
        <v>0.25</v>
      </c>
      <c r="AA21" s="120">
        <f t="shared" si="16"/>
        <v>0.23098183392266364</v>
      </c>
      <c r="AB21" s="155">
        <f>Poor!AB21</f>
        <v>0.25</v>
      </c>
      <c r="AC21" s="120">
        <f t="shared" si="7"/>
        <v>0.23098183392266364</v>
      </c>
      <c r="AD21" s="155">
        <f>Poor!AD21</f>
        <v>0.25</v>
      </c>
      <c r="AE21" s="120">
        <f t="shared" si="8"/>
        <v>0.23098183392266364</v>
      </c>
      <c r="AF21" s="121">
        <f t="shared" si="10"/>
        <v>0.25</v>
      </c>
      <c r="AG21" s="120">
        <f t="shared" si="11"/>
        <v>0.23098183392266364</v>
      </c>
      <c r="AH21" s="122">
        <f t="shared" si="12"/>
        <v>1</v>
      </c>
      <c r="AI21" s="184">
        <f t="shared" si="13"/>
        <v>0.23098183392266364</v>
      </c>
      <c r="AJ21" s="119">
        <f t="shared" si="14"/>
        <v>0.23098183392266364</v>
      </c>
      <c r="AK21" s="118">
        <f t="shared" si="15"/>
        <v>0.23098183392266364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 thickBot="1">
      <c r="A22" s="94" t="s">
        <v>57</v>
      </c>
      <c r="B22" s="100">
        <f>IF([1]Summ!$J1060="",0,[1]Summ!$J1060)</f>
        <v>0.53823582067247822</v>
      </c>
      <c r="C22" s="65"/>
      <c r="D22" s="24">
        <f>(D101-B106)</f>
        <v>57.101379922755932</v>
      </c>
      <c r="E22" s="75">
        <f>Middle!E22</f>
        <v>1</v>
      </c>
      <c r="H22" s="97">
        <f>(E22*F$7/F$9)</f>
        <v>1</v>
      </c>
      <c r="I22" s="29">
        <f>IF(E22&gt;=1,I101-SUM(I106,I107),MIN(I101-SUM(I106,I107),B22*H22))</f>
        <v>52.7206406717549</v>
      </c>
      <c r="J22" s="243">
        <f>IF(I$24&lt;=$B$24,I22,$B$24-SUM(J6:J21))</f>
        <v>0.54747647845463776</v>
      </c>
      <c r="K22" s="22">
        <f t="shared" si="4"/>
        <v>0.53823582067247822</v>
      </c>
      <c r="L22" s="22">
        <f>IF(L106=L101,0,IF(K22="",0,(L101-L106)/(B101-B106)*K22))</f>
        <v>0.51262347020402865</v>
      </c>
      <c r="M22" s="174">
        <f t="shared" si="6"/>
        <v>0.54747647845463776</v>
      </c>
      <c r="N22" s="165" t="s">
        <v>87</v>
      </c>
      <c r="O22" s="2"/>
      <c r="P22" s="22"/>
      <c r="Q22" s="59" t="s">
        <v>84</v>
      </c>
      <c r="R22" s="226">
        <f>IF($B$68=0,0,(SUMIF($N$6:$N$20,$U22,K$6:K$20)+SUMIF($N$78:$N$100,$U22,K$78:K$100))*$I$70*Poor!$B$68/$B$68)</f>
        <v>0</v>
      </c>
      <c r="S22" s="226">
        <f>IF($B$68=0,0,(SUMIF($N$6:$N$20,$U22,L$6:L$20)+SUMIF($N$78:$N$100,$U22,L$78:L$100))*$I$70*Poor!$B$68/$B$68)</f>
        <v>0</v>
      </c>
      <c r="T22" s="226">
        <f>IF($B$68=0,0,(SUMIF($N$6:$N$20,$U22,M$6:M$20)+SUMIF($N$78:$N$100,$U22,M$78:M$100))*$I$70*Poor!$B$68/$B$68)</f>
        <v>0</v>
      </c>
      <c r="U22" s="227">
        <v>16</v>
      </c>
      <c r="V22" s="56"/>
      <c r="W22" s="109"/>
      <c r="X22" s="117"/>
      <c r="Y22" s="184">
        <f>M22*4</f>
        <v>2.189905913818551</v>
      </c>
      <c r="Z22" s="121">
        <f>IF($Y22=0,0,AA22/($Y$22))</f>
        <v>0</v>
      </c>
      <c r="AA22" s="188">
        <f>IF(AA66*4/$I$70+SUM(AA6:AA21)&lt;1,AA66*4/$I$70,1-SUM(AA6:AA21))</f>
        <v>0</v>
      </c>
      <c r="AB22" s="121">
        <f>IF($Y22=0,0,AC22/($Y$22))</f>
        <v>0</v>
      </c>
      <c r="AC22" s="188">
        <f>IF(AC66*4/$I$70+SUM(AC6:AC21)&lt;1,AC66*4/$I$70,1-SUM(AC6:AC21))</f>
        <v>0</v>
      </c>
      <c r="AD22" s="121">
        <f>IF($Y22=0,0,AE22/($Y$22))</f>
        <v>0</v>
      </c>
      <c r="AE22" s="188">
        <f>IF(AE66*4/$I$70+SUM(AE6:AE21)&lt;1,AE66*4/$I$70,1-SUM(AE6:AE21))</f>
        <v>0</v>
      </c>
      <c r="AF22" s="121">
        <f>IF($Y22=0,0,AG22/($Y$22))</f>
        <v>0.15028372718332653</v>
      </c>
      <c r="AG22" s="188">
        <f>IF(AG66*4/$I$70+SUM(AG6:AG21)&lt;1,AG66*4/$I$70,1-SUM(AG6:AG21))</f>
        <v>0.32910722290946048</v>
      </c>
      <c r="AH22" s="122">
        <f t="shared" si="12"/>
        <v>0.15028372718332653</v>
      </c>
      <c r="AI22" s="184">
        <f t="shared" si="13"/>
        <v>8.2276805727365121E-2</v>
      </c>
      <c r="AJ22" s="119">
        <f t="shared" si="14"/>
        <v>0</v>
      </c>
      <c r="AK22" s="118">
        <f t="shared" si="15"/>
        <v>0.16455361145473024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95" t="s">
        <v>58</v>
      </c>
      <c r="B23" s="101" t="str">
        <f>IF(1-$B$24&gt;0,1-$B$24,"")</f>
        <v/>
      </c>
      <c r="C23" s="29"/>
      <c r="D23" s="24"/>
      <c r="E23" s="22"/>
      <c r="F23" s="22"/>
      <c r="H23" s="24"/>
      <c r="I23" s="29"/>
      <c r="J23" s="244">
        <f>($B$24-SUM(J6:J22))</f>
        <v>0</v>
      </c>
      <c r="K23" s="22" t="str">
        <f t="shared" si="4"/>
        <v/>
      </c>
      <c r="L23" s="22">
        <f>(1-SUM(L6:L22))</f>
        <v>-0.43958732225882313</v>
      </c>
      <c r="M23" s="177">
        <f t="shared" si="6"/>
        <v>0</v>
      </c>
      <c r="N23" s="166">
        <f>M23*I70</f>
        <v>0</v>
      </c>
      <c r="P23" s="22"/>
      <c r="Q23" s="170" t="s">
        <v>101</v>
      </c>
      <c r="R23" s="179">
        <f>SUM(R7:R22)</f>
        <v>462696.43688086706</v>
      </c>
      <c r="S23" s="179">
        <f>SUM(S7:S22)</f>
        <v>442047.88204215741</v>
      </c>
      <c r="T23" s="179">
        <f>SUM(T7:T22)</f>
        <v>442013.00627292541</v>
      </c>
      <c r="U23" s="242" t="s">
        <v>140</v>
      </c>
      <c r="V23" s="56"/>
      <c r="W23" s="128" t="s">
        <v>85</v>
      </c>
      <c r="X23" s="129"/>
      <c r="Y23" s="120">
        <f>M23*4</f>
        <v>0</v>
      </c>
      <c r="Z23" s="130"/>
      <c r="AA23" s="131">
        <f>1-AA24+IF($Y24&lt;0,$Y24/4,0)</f>
        <v>0</v>
      </c>
      <c r="AB23" s="130"/>
      <c r="AC23" s="132">
        <f>1-AC24+IF($Y24&lt;0,$Y24/4,0)</f>
        <v>0</v>
      </c>
      <c r="AD23" s="133"/>
      <c r="AE23" s="132">
        <f>1-AE24+IF($Y24&lt;0,$Y24/4,0)</f>
        <v>0</v>
      </c>
      <c r="AF23" s="133"/>
      <c r="AG23" s="132">
        <f>1-AG24+IF($Y24&lt;0,$Y24/4,0)</f>
        <v>0</v>
      </c>
      <c r="AH23" s="122"/>
      <c r="AI23" s="183">
        <f>SUM(AA23,AC23,AE23,AG23)/4</f>
        <v>0</v>
      </c>
      <c r="AJ23" s="134">
        <f t="shared" si="14"/>
        <v>0</v>
      </c>
      <c r="AK23" s="135">
        <f t="shared" si="15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>
      <c r="A24" s="22" t="s">
        <v>24</v>
      </c>
      <c r="B24" s="29">
        <f>SUM(B6:B22)</f>
        <v>1.4651996727272727</v>
      </c>
      <c r="C24" s="29">
        <f>SUM(C6:C23)</f>
        <v>1.0846610670966554</v>
      </c>
      <c r="D24" s="24">
        <f>SUM(D6:D22)</f>
        <v>59.113004841907383</v>
      </c>
      <c r="E24" s="2"/>
      <c r="F24" s="2"/>
      <c r="H24" s="17"/>
      <c r="I24" s="22">
        <f>SUM(I6:I22)</f>
        <v>54.732265590906351</v>
      </c>
      <c r="J24" s="17"/>
      <c r="L24" s="22">
        <f>SUM(L6:L22)</f>
        <v>1.4395873222588231</v>
      </c>
      <c r="M24" s="23"/>
      <c r="N24" s="56"/>
      <c r="O24" s="2"/>
      <c r="P24" s="22"/>
      <c r="Q24" s="59" t="s">
        <v>136</v>
      </c>
      <c r="R24" s="41">
        <f>IF($B$68=0,0,($B$106*$H$106)+1-($D$21*$H$21)-($D$20*$H$20))*$I$70*Poor!$B$68/$B$68</f>
        <v>21863.869686861162</v>
      </c>
      <c r="S24" s="41">
        <f>IF($B$68=0,0,($B$106*($H$106)+1-($D$21*$H$21)-($D$20*$H$20))*$I$70*Poor!$B$68/$B$68)</f>
        <v>21863.869686861162</v>
      </c>
      <c r="T24" s="41">
        <f>IF($B$68=0,0,($B$106*($H$106)+1-($D$21*$H$21)-($D$20*$H$20))*$I$70*Poor!$B$68/$B$68)</f>
        <v>21863.869686861162</v>
      </c>
      <c r="U24" s="240">
        <f>T24/Poor!$B$68/12</f>
        <v>303.66485676196061</v>
      </c>
      <c r="V24" s="56"/>
      <c r="W24" s="109"/>
      <c r="X24" s="117"/>
      <c r="Y24" s="114">
        <f>SUM(Y6:Y23)</f>
        <v>5.8607986909090908</v>
      </c>
      <c r="Z24" s="136"/>
      <c r="AA24" s="137">
        <f>SUM(AA6:AA22)</f>
        <v>1</v>
      </c>
      <c r="AB24" s="136"/>
      <c r="AC24" s="138">
        <f>SUM(AC6:AC22)</f>
        <v>1</v>
      </c>
      <c r="AD24" s="136"/>
      <c r="AE24" s="138">
        <f>SUM(AE6:AE22)</f>
        <v>1</v>
      </c>
      <c r="AF24" s="136"/>
      <c r="AG24" s="138">
        <f>SUM(AG6:AG22)</f>
        <v>1</v>
      </c>
      <c r="AH24" s="126"/>
      <c r="AI24" s="109"/>
      <c r="AJ24" s="139">
        <f>SUM(AJ6:AJ23)</f>
        <v>1</v>
      </c>
      <c r="AK24" s="140">
        <f>SUM(AK6:AK23)</f>
        <v>1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</row>
    <row r="25" spans="1:89" ht="14" customHeight="1" thickBot="1">
      <c r="A25" s="11"/>
      <c r="B25" s="11"/>
      <c r="C25" s="11"/>
      <c r="D25" s="10"/>
      <c r="E25" s="11"/>
      <c r="F25" s="11"/>
      <c r="G25" s="11"/>
      <c r="H25" s="10"/>
      <c r="I25" s="235" t="s">
        <v>25</v>
      </c>
      <c r="J25" s="236">
        <f>(1+K107*H107-L24-L107)/(I24-L24-L107)</f>
        <v>-8.5193965769365422E-3</v>
      </c>
      <c r="K25" s="14"/>
      <c r="L25" s="11"/>
      <c r="M25" s="30"/>
      <c r="N25" s="167" t="s">
        <v>88</v>
      </c>
      <c r="O25" s="2"/>
      <c r="P25" s="2"/>
      <c r="Q25" s="141" t="s">
        <v>137</v>
      </c>
      <c r="R25" s="41">
        <f>IF($B$68=0,0,($B$57+$B$58+((1-$D$21)*$B$70))*$H$71*Poor!$B$68/$B$68)</f>
        <v>35134.825989516008</v>
      </c>
      <c r="S25" s="41">
        <f>IF($B$68=0,0,(($B$57*$H$57)+($B$58*$H$58)+((1-($D$21*$H$21))*$I$70))*Poor!$B$68/$B$68)</f>
        <v>34833.109686861164</v>
      </c>
      <c r="T25" s="41">
        <f>IF($B$68=0,0,(($B$57*$H$57)+($B$58*$H$58)+((1-($D$21*$H$21))*$I$70))*Poor!$B$68/$B$68)</f>
        <v>34833.109686861164</v>
      </c>
      <c r="U25" s="240">
        <f>T25/Poor!$B$68/12</f>
        <v>483.79319009529394</v>
      </c>
      <c r="V25" s="56"/>
      <c r="W25" s="109"/>
      <c r="X25" s="117"/>
      <c r="Y25" s="109"/>
      <c r="Z25" s="142"/>
      <c r="AA25" s="143"/>
      <c r="AB25" s="142"/>
      <c r="AC25" s="143"/>
      <c r="AD25" s="142"/>
      <c r="AE25" s="143"/>
      <c r="AF25" s="142"/>
      <c r="AG25" s="143"/>
      <c r="AH25" s="109"/>
      <c r="AI25" s="109"/>
      <c r="AJ25" s="142"/>
      <c r="AK25" s="143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</row>
    <row r="26" spans="1:89" ht="15.75" customHeight="1" thickBot="1">
      <c r="A26" s="73" t="s">
        <v>51</v>
      </c>
      <c r="B26" s="2"/>
      <c r="C26" s="2"/>
      <c r="D26" s="31"/>
      <c r="E26" s="32"/>
      <c r="F26" s="32"/>
      <c r="G26" s="32"/>
      <c r="H26" s="31"/>
      <c r="I26" s="2"/>
      <c r="J26" s="33"/>
      <c r="K26" s="34" t="s">
        <v>27</v>
      </c>
      <c r="L26" s="35"/>
      <c r="M26" s="36"/>
      <c r="N26" s="168">
        <f>-(M64*B63)</f>
        <v>0</v>
      </c>
      <c r="O26" s="2"/>
      <c r="P26" s="2"/>
      <c r="Q26" s="59" t="s">
        <v>138</v>
      </c>
      <c r="R26" s="41">
        <f>IF($B$68=0,0,($B$57+$B$58+$B$59+((1-$D$21)*$B$70))*$H$71*Poor!$B$68/$B$68)</f>
        <v>58769.031633614082</v>
      </c>
      <c r="S26" s="41">
        <f>IF($B$68=0,0,(($B$57*$H$57)+($B$58*$H$58)+($B$59*$H$59)+((1-($D$21*$H$21))*$I$70))*Poor!$B$68/$B$68)</f>
        <v>57929.989686861169</v>
      </c>
      <c r="T26" s="41">
        <f>IF($B$68=0,0,(($B$57*$H$57)+($B$58*$H$58)+($B$59*$H$59)+((1-($D$21*$H$21))*$I$70))*Poor!$B$68/$B$68)</f>
        <v>57929.989686861169</v>
      </c>
      <c r="U26" s="240">
        <f>T26/Poor!$B$68/12</f>
        <v>804.58319009529396</v>
      </c>
      <c r="V26" s="56"/>
      <c r="W26" s="109"/>
      <c r="X26" s="117"/>
      <c r="Y26" s="109"/>
      <c r="Z26" s="144"/>
      <c r="AA26" s="145"/>
      <c r="AB26" s="144"/>
      <c r="AC26" s="145"/>
      <c r="AD26" s="144"/>
      <c r="AE26" s="145"/>
      <c r="AF26" s="144"/>
      <c r="AG26" s="145"/>
      <c r="AH26" s="109"/>
      <c r="AI26" s="109"/>
      <c r="AJ26" s="144"/>
      <c r="AK26" s="145"/>
      <c r="AP26" s="25"/>
      <c r="AQ26" s="25"/>
      <c r="AR26" s="25"/>
      <c r="AS26" s="25"/>
      <c r="AT26" s="25"/>
      <c r="AU26" s="25"/>
      <c r="AW26" s="25"/>
      <c r="AX26" s="25"/>
      <c r="AY26" s="25"/>
      <c r="AZ26" s="25"/>
      <c r="BA26" s="25"/>
      <c r="BB26" s="25"/>
      <c r="BF26" s="25"/>
      <c r="BG26" s="25"/>
      <c r="BH26" s="25"/>
      <c r="BI26" s="25"/>
      <c r="BJ26" s="25"/>
      <c r="BK26" s="25"/>
      <c r="BM26" s="25"/>
      <c r="BN26" s="25"/>
      <c r="BO26" s="25"/>
      <c r="BP26" s="25"/>
      <c r="BQ26" s="25"/>
      <c r="BR26" s="25"/>
      <c r="BU26" s="25"/>
      <c r="BV26" s="25"/>
      <c r="BW26" s="25"/>
      <c r="BX26" s="25"/>
      <c r="BY26" s="25"/>
      <c r="BZ26" s="25"/>
      <c r="CB26" s="25"/>
      <c r="CC26" s="25"/>
      <c r="CD26" s="25"/>
      <c r="CE26" s="25"/>
      <c r="CF26" s="25"/>
      <c r="CG26" s="25"/>
    </row>
    <row r="27" spans="1:89" ht="14" customHeight="1">
      <c r="A27" s="2"/>
      <c r="B27" s="19" t="s">
        <v>7</v>
      </c>
      <c r="C27" s="19" t="s">
        <v>8</v>
      </c>
      <c r="D27" s="16" t="s">
        <v>9</v>
      </c>
      <c r="E27" s="19" t="s">
        <v>10</v>
      </c>
      <c r="F27" s="2" t="s">
        <v>28</v>
      </c>
      <c r="G27" s="2" t="s">
        <v>29</v>
      </c>
      <c r="H27" s="16" t="s">
        <v>12</v>
      </c>
      <c r="I27" s="19" t="s">
        <v>13</v>
      </c>
      <c r="J27" s="16" t="s">
        <v>14</v>
      </c>
      <c r="K27" s="37" t="s">
        <v>7</v>
      </c>
      <c r="L27" s="19" t="s">
        <v>15</v>
      </c>
      <c r="M27" s="16" t="s">
        <v>14</v>
      </c>
      <c r="N27" s="2"/>
      <c r="O27" s="2"/>
      <c r="P27" s="2"/>
      <c r="Q27" s="125" t="s">
        <v>139</v>
      </c>
      <c r="R27" s="41">
        <f>IF($B$68=0,0,($B$57+$B$58+$B$59+$B$60+(1-$D$21-$D$20)*$B$70)*$H$71*Poor!$B$68/$B$68)</f>
        <v>127300.05007567008</v>
      </c>
      <c r="S27" s="41">
        <f>IF($B$68=0,0,(($B$57*$H$57)+($B$58*$H$58)+($B$59*$H$59)+($B$60*$H$60)+((1-($D$20*$H$20)-($D$21*$H$21))*$I$70))*Poor!$B$68/$B$68)</f>
        <v>124902.94968686117</v>
      </c>
      <c r="T27" s="41">
        <f>IF($B$68=0,0,(($B$57*$H$57)+($B$58*$H$58)+($B$59*$H$59)+($B$60*$H$60)+((1-($D$20*$H$20)-($D$21*$H$21))*$I$70))*Poor!$B$68/$B$68)</f>
        <v>124902.94968686117</v>
      </c>
      <c r="U27" s="241">
        <f>T27/Poor!$B$68/12</f>
        <v>1734.763190095294</v>
      </c>
      <c r="V27" s="56"/>
      <c r="W27" s="109"/>
      <c r="X27" s="117"/>
      <c r="Y27" s="109"/>
      <c r="Z27" s="144"/>
      <c r="AA27" s="145"/>
      <c r="AB27" s="144"/>
      <c r="AC27" s="145"/>
      <c r="AD27" s="144"/>
      <c r="AE27" s="145"/>
      <c r="AF27" s="144"/>
      <c r="AG27" s="145"/>
      <c r="AH27" s="109"/>
      <c r="AI27" s="109"/>
      <c r="AJ27" s="144"/>
      <c r="AK27" s="145"/>
      <c r="AP27" s="25"/>
      <c r="AQ27" s="25"/>
      <c r="AR27" s="25"/>
      <c r="AS27" s="25"/>
      <c r="AT27" s="25"/>
      <c r="AU27" s="25"/>
      <c r="AW27" s="25"/>
      <c r="AX27" s="25"/>
      <c r="AY27" s="25"/>
      <c r="AZ27" s="25"/>
      <c r="BA27" s="25"/>
      <c r="BB27" s="25"/>
      <c r="BF27" s="25"/>
      <c r="BG27" s="25"/>
      <c r="BH27" s="25"/>
      <c r="BI27" s="25"/>
      <c r="BJ27" s="25"/>
      <c r="BK27" s="25"/>
      <c r="BM27" s="25"/>
      <c r="BN27" s="25"/>
      <c r="BO27" s="25"/>
      <c r="BP27" s="25"/>
      <c r="BQ27" s="25"/>
      <c r="BR27" s="25"/>
      <c r="BU27" s="25"/>
      <c r="BV27" s="25"/>
      <c r="BW27" s="25"/>
      <c r="BX27" s="25"/>
      <c r="BY27" s="25"/>
      <c r="BZ27" s="25"/>
      <c r="CB27" s="25"/>
      <c r="CC27" s="25"/>
      <c r="CD27" s="25"/>
      <c r="CE27" s="25"/>
      <c r="CF27" s="25"/>
      <c r="CG27" s="25"/>
    </row>
    <row r="28" spans="1:89" ht="14" customHeight="1">
      <c r="A28" s="2" t="s">
        <v>30</v>
      </c>
      <c r="B28" s="19" t="s">
        <v>16</v>
      </c>
      <c r="C28" s="19" t="s">
        <v>17</v>
      </c>
      <c r="D28" s="16" t="s">
        <v>16</v>
      </c>
      <c r="E28" s="19" t="s">
        <v>18</v>
      </c>
      <c r="F28" s="2" t="s">
        <v>31</v>
      </c>
      <c r="G28" s="2" t="s">
        <v>31</v>
      </c>
      <c r="H28" s="16" t="s">
        <v>18</v>
      </c>
      <c r="I28" s="19" t="s">
        <v>16</v>
      </c>
      <c r="J28" s="16" t="s">
        <v>16</v>
      </c>
      <c r="K28" s="37" t="s">
        <v>16</v>
      </c>
      <c r="L28" s="19" t="s">
        <v>19</v>
      </c>
      <c r="M28" s="16" t="s">
        <v>16</v>
      </c>
      <c r="N28" s="2"/>
      <c r="O28" s="2"/>
      <c r="P28" s="2"/>
      <c r="U28" s="56"/>
      <c r="V28" s="56"/>
      <c r="W28" s="109"/>
      <c r="X28" s="117"/>
      <c r="Y28" s="109"/>
      <c r="Z28" s="144"/>
      <c r="AA28" s="145"/>
      <c r="AB28" s="144"/>
      <c r="AC28" s="145"/>
      <c r="AD28" s="144"/>
      <c r="AE28" s="145"/>
      <c r="AF28" s="144"/>
      <c r="AG28" s="145"/>
      <c r="AH28" s="109"/>
      <c r="AI28" s="109"/>
      <c r="AJ28" s="144"/>
      <c r="AK28" s="145"/>
      <c r="AP28" s="25"/>
      <c r="AQ28" s="25"/>
      <c r="AR28" s="25"/>
      <c r="AS28" s="25"/>
      <c r="AT28" s="25"/>
      <c r="AU28" s="25"/>
      <c r="AW28" s="25"/>
      <c r="AX28" s="25"/>
      <c r="AY28" s="25"/>
      <c r="AZ28" s="25"/>
      <c r="BA28" s="25"/>
      <c r="BB28" s="25"/>
      <c r="BF28" s="25"/>
      <c r="BG28" s="25"/>
      <c r="BH28" s="25"/>
      <c r="BI28" s="25"/>
      <c r="BJ28" s="25"/>
      <c r="BK28" s="25"/>
      <c r="BM28" s="25"/>
      <c r="BN28" s="25"/>
      <c r="BO28" s="25"/>
      <c r="BP28" s="25"/>
      <c r="BQ28" s="25"/>
      <c r="BR28" s="25"/>
      <c r="BU28" s="25"/>
      <c r="BV28" s="25"/>
      <c r="BW28" s="25"/>
      <c r="BX28" s="25"/>
      <c r="BY28" s="25"/>
      <c r="BZ28" s="25"/>
      <c r="CB28" s="25"/>
      <c r="CC28" s="25"/>
      <c r="CD28" s="25"/>
      <c r="CE28" s="25"/>
      <c r="CF28" s="25"/>
      <c r="CG28" s="25"/>
    </row>
    <row r="29" spans="1:89" ht="14" customHeight="1">
      <c r="A29" s="85" t="str">
        <f>IF(Poor!A29=0,"",Poor!A29)</f>
        <v>Cattle sales - local: no. sold</v>
      </c>
      <c r="B29" s="103">
        <f>IF([1]Summ!$J1064="",0,[1]Summ!$J1064)</f>
        <v>12000</v>
      </c>
      <c r="C29" s="103">
        <f>IF([1]Summ!$K1064="",0,[1]Summ!$K1064)</f>
        <v>0</v>
      </c>
      <c r="D29" s="38">
        <f t="shared" ref="D29:D51" si="17">B29+C29</f>
        <v>12000</v>
      </c>
      <c r="E29" s="75">
        <f>Middle!E29</f>
        <v>1</v>
      </c>
      <c r="F29" s="75">
        <f>Middle!F29</f>
        <v>1.1100000000000001</v>
      </c>
      <c r="G29" s="75">
        <f>Middle!G29</f>
        <v>1.1200000000000001</v>
      </c>
      <c r="H29" s="24">
        <f t="shared" ref="H29:H51" si="18">(E29*F29)</f>
        <v>1.1100000000000001</v>
      </c>
      <c r="I29" s="39">
        <f t="shared" ref="I29:I51" si="19">D29*H29</f>
        <v>13320.000000000002</v>
      </c>
      <c r="J29" s="38">
        <f t="shared" ref="J29:J51" si="20">J78*I$70</f>
        <v>13320.000000000002</v>
      </c>
      <c r="K29" s="40">
        <f t="shared" ref="K29:K51" si="21">(B29/B$52)</f>
        <v>3.5261666208517783E-2</v>
      </c>
      <c r="L29" s="22">
        <f t="shared" ref="L29:L51" si="22">(K29*H29)</f>
        <v>3.9140449491454746E-2</v>
      </c>
      <c r="M29" s="24">
        <f t="shared" ref="M29:M51" si="23">J29/B$52</f>
        <v>3.9140449491454739E-2</v>
      </c>
      <c r="N29" s="2"/>
      <c r="O29" s="2"/>
      <c r="P29" s="2"/>
      <c r="Q29" s="178"/>
      <c r="R29" s="180"/>
      <c r="S29" s="180"/>
      <c r="T29" s="180"/>
      <c r="U29" s="56"/>
      <c r="V29" s="56"/>
      <c r="W29" s="114"/>
      <c r="X29" s="117"/>
      <c r="Y29" s="109"/>
      <c r="Z29" s="121">
        <f>IF($J29=0,0,AA29/($J29))</f>
        <v>0</v>
      </c>
      <c r="AA29" s="146">
        <f>IF(SUM(AA$6:AA$21)+(SUM(AA$31:AA$51,-AA$57)/AA$70)&lt;1,IF(SUM(AA$6:AA$21)+(SUM(AA$31:AA$51,$J$29:$J$30,-AA$57)/AA$70)&lt;1,$J29,(AA$70-(SUM(AA$6:AA$21)*AA$70)-SUM(AA$31:AA$51,-AA$57))*($J29/SUM($J$29:$J$30))),0)</f>
        <v>0</v>
      </c>
      <c r="AB29" s="121">
        <f>IF($J29=0,0,AC29/($J29))</f>
        <v>0</v>
      </c>
      <c r="AC29" s="146">
        <f>IF(SUM(AC$6:AC$21)+(SUM(AC$31:AC$51,-AC$57)/AC$70)&lt;1,IF(SUM(AC$6:AC$21)+((SUM(AC$31:AC$51,$J$29:$J$30,-AC$57)-SUM($AA$29:$AA$30))/AC$70)&lt;1,$J29-$AA29,(AC$70-(SUM(AC$6:AC$21)*AC$70)-SUM(AC$31:AC$51,-AC$57))*($J29/SUM($J$29:$J$30))),0)</f>
        <v>0</v>
      </c>
      <c r="AD29" s="121">
        <f>IF($J29=0,0,AE29/($J29))</f>
        <v>0</v>
      </c>
      <c r="AE29" s="146">
        <f>IF(SUM(AE$6:AE$21)+(SUM(AE$31:AE$51,-AE$57)/AE$70)&lt;1,IF(SUM(AE$6:AE$21)+((SUM(AE$31:AE$51,$J$29:$J$30,-AE$57)-SUM($AA$29:$AA$30)-SUM($AC$29:$AC$30))/AE$70)&lt;1,$J29-$AA29-$AC29,(AE$70-(SUM(AE$6:AE$21)*AE$70)-SUM(AE$31:AE$51,-AE$57))*($J29/SUM($J$29:$J$30))),0)</f>
        <v>0</v>
      </c>
      <c r="AF29" s="121">
        <f t="shared" ref="AF29:AF51" si="24">1-SUM(Z29,AB29,AD29)</f>
        <v>1</v>
      </c>
      <c r="AG29" s="146">
        <f>$J29*AF29</f>
        <v>13320.000000000002</v>
      </c>
      <c r="AH29" s="122">
        <f>SUM(Z29,AB29,AD29,AF29)</f>
        <v>1</v>
      </c>
      <c r="AI29" s="111">
        <f>SUM(AA29,AC29,AE29,AG29)</f>
        <v>13320.000000000002</v>
      </c>
      <c r="AJ29" s="147">
        <f>(AA29+AC29)</f>
        <v>0</v>
      </c>
      <c r="AK29" s="146">
        <f>(AE29+AG29)</f>
        <v>13320.000000000002</v>
      </c>
      <c r="AP29" s="25"/>
      <c r="AQ29" s="25"/>
      <c r="AR29" s="25"/>
      <c r="AS29" s="25"/>
      <c r="AT29" s="25"/>
      <c r="AU29" s="25"/>
      <c r="AW29" s="25"/>
      <c r="AX29" s="25"/>
      <c r="AY29" s="25"/>
      <c r="AZ29" s="25"/>
      <c r="BA29" s="25"/>
      <c r="BB29" s="25"/>
      <c r="BF29" s="25"/>
      <c r="BG29" s="25"/>
      <c r="BH29" s="25"/>
      <c r="BI29" s="25"/>
      <c r="BJ29" s="25"/>
      <c r="BK29" s="25"/>
      <c r="BM29" s="25"/>
      <c r="BN29" s="25"/>
      <c r="BO29" s="25"/>
      <c r="BP29" s="25"/>
      <c r="BQ29" s="25"/>
      <c r="BR29" s="25"/>
      <c r="BU29" s="25"/>
      <c r="BV29" s="25"/>
      <c r="BW29" s="25"/>
      <c r="BX29" s="25"/>
      <c r="BY29" s="25"/>
      <c r="BZ29" s="25"/>
      <c r="CB29" s="25"/>
      <c r="CC29" s="25"/>
      <c r="CD29" s="25"/>
      <c r="CE29" s="25"/>
      <c r="CF29" s="25"/>
      <c r="CG29" s="25"/>
    </row>
    <row r="30" spans="1:89" ht="14" customHeight="1">
      <c r="A30" s="85" t="str">
        <f>IF(Poor!A30=0,"",Poor!A30)</f>
        <v>Goat sales - local: no. sold</v>
      </c>
      <c r="B30" s="103">
        <f>IF([1]Summ!$J1065="",0,[1]Summ!$J1065)</f>
        <v>3200</v>
      </c>
      <c r="C30" s="103">
        <f>IF([1]Summ!$K1065="",0,[1]Summ!$K1065)</f>
        <v>1200</v>
      </c>
      <c r="D30" s="38">
        <f t="shared" si="17"/>
        <v>4400</v>
      </c>
      <c r="E30" s="75">
        <f>Middle!E30</f>
        <v>1</v>
      </c>
      <c r="F30" s="75">
        <f>Middle!F30</f>
        <v>1.0900000000000001</v>
      </c>
      <c r="G30" s="22">
        <f t="shared" ref="G30:G51" si="25">(G$29)</f>
        <v>1.1200000000000001</v>
      </c>
      <c r="H30" s="24">
        <f t="shared" si="18"/>
        <v>1.0900000000000001</v>
      </c>
      <c r="I30" s="39">
        <f t="shared" si="19"/>
        <v>4796</v>
      </c>
      <c r="J30" s="38">
        <f t="shared" si="20"/>
        <v>3476.8566292773676</v>
      </c>
      <c r="K30" s="40">
        <f t="shared" si="21"/>
        <v>9.4031109889380748E-3</v>
      </c>
      <c r="L30" s="22">
        <f t="shared" si="22"/>
        <v>1.0249390977942502E-2</v>
      </c>
      <c r="M30" s="24">
        <f t="shared" si="23"/>
        <v>1.0216646493037565E-2</v>
      </c>
      <c r="N30" s="2"/>
      <c r="O30" s="2"/>
      <c r="P30" s="2"/>
      <c r="Q30" s="59"/>
      <c r="R30" s="180"/>
      <c r="S30" s="180"/>
      <c r="T30" s="180"/>
      <c r="U30" s="56"/>
      <c r="V30" s="56"/>
      <c r="W30" s="114"/>
      <c r="X30" s="117"/>
      <c r="Y30" s="109"/>
      <c r="Z30" s="121">
        <f>IF($J30=0,0,AA30/($J30))</f>
        <v>0</v>
      </c>
      <c r="AA30" s="146">
        <f>IF(SUM(AA$6:AA$21)+(SUM(AA$31:AA$51,-AA$57)/AA$70)&lt;1,IF(SUM(AA$6:AA$21)+(SUM(AA$31:AA$51,$J$29:$J$30,-AA$57)/AA$70)&lt;1,$J30,(AA$70-(SUM(AA$6:AA$21)*AA$70)-SUM(AA$31:AA$51,-AA$57))*($J30/SUM($J$29:$J$30))),0)</f>
        <v>0</v>
      </c>
      <c r="AB30" s="121">
        <f>IF($J30=0,0,AC30/($J30))</f>
        <v>0</v>
      </c>
      <c r="AC30" s="146">
        <f>IF(SUM(AC$6:AC$21)+(SUM(AC$31:AC$51,-AC$57)/AC$70)&lt;1,IF(SUM(AC$6:AC$21)+((SUM(AC$31:AC$51,$J$29:$J$30,-AC$57)-SUM($AA$29:$AA$30))/AC$70)&lt;1,$J30-$AA30,(AC$70-(SUM(AC$6:AC$21)*AC$70)-SUM(AC$31:AC$51,-AC$57))*($J30/SUM($J$29:$J$30))),0)</f>
        <v>0</v>
      </c>
      <c r="AD30" s="121">
        <f>IF($J30=0,0,AE30/($J30))</f>
        <v>0</v>
      </c>
      <c r="AE30" s="146">
        <f>IF(SUM(AE$6:AE$21)+(SUM(AE$31:AE$51,-AE$57)/AE$70)&lt;1,IF(SUM(AE$6:AE$21)+((SUM(AE$31:AE$51,$J$29:$J$30,-AE$57)-SUM($AA$29:$AA$30)-SUM($AC$29:$AC$30))/AE$70)&lt;1,$J30-$AA30-$AC30,(AE$70-(SUM(AE$6:AE$21)*AE$70)-SUM(AE$31:AE$51,-AE$57))*($J30/SUM($J$29:$J$30))),0)</f>
        <v>0</v>
      </c>
      <c r="AF30" s="121">
        <f t="shared" si="24"/>
        <v>1</v>
      </c>
      <c r="AG30" s="146">
        <f t="shared" ref="AG30:AG51" si="26">$J30*AF30</f>
        <v>3476.8566292773676</v>
      </c>
      <c r="AH30" s="122">
        <f t="shared" ref="AH30:AI45" si="27">SUM(Z30,AB30,AD30,AF30)</f>
        <v>1</v>
      </c>
      <c r="AI30" s="111">
        <f t="shared" si="27"/>
        <v>3476.8566292773676</v>
      </c>
      <c r="AJ30" s="147">
        <f t="shared" ref="AJ30:AJ51" si="28">(AA30+AC30)</f>
        <v>0</v>
      </c>
      <c r="AK30" s="146">
        <f t="shared" ref="AK30:AK51" si="29">(AE30+AG30)</f>
        <v>3476.8566292773676</v>
      </c>
      <c r="AP30" s="25"/>
      <c r="AQ30" s="25"/>
      <c r="AR30" s="25"/>
      <c r="AS30" s="25"/>
      <c r="AT30" s="25"/>
      <c r="AU30" s="25"/>
      <c r="AW30" s="25"/>
      <c r="AX30" s="25"/>
      <c r="AY30" s="25"/>
      <c r="AZ30" s="25"/>
      <c r="BA30" s="25"/>
      <c r="BB30" s="25"/>
      <c r="BF30" s="25"/>
      <c r="BG30" s="25"/>
      <c r="BH30" s="25"/>
      <c r="BI30" s="25"/>
      <c r="BJ30" s="25"/>
      <c r="BK30" s="25"/>
      <c r="BM30" s="25"/>
      <c r="BN30" s="25"/>
      <c r="BO30" s="25"/>
      <c r="BP30" s="25"/>
      <c r="BQ30" s="25"/>
      <c r="BR30" s="25"/>
      <c r="BU30" s="25"/>
      <c r="BV30" s="25"/>
      <c r="BW30" s="25"/>
      <c r="BX30" s="25"/>
      <c r="BY30" s="25"/>
      <c r="BZ30" s="25"/>
      <c r="CB30" s="25"/>
      <c r="CC30" s="25"/>
      <c r="CD30" s="25"/>
      <c r="CE30" s="25"/>
      <c r="CF30" s="25"/>
      <c r="CG30" s="25"/>
    </row>
    <row r="31" spans="1:89" ht="14" customHeight="1">
      <c r="A31" s="85" t="str">
        <f>IF(Poor!A31=0,"",Poor!A31)</f>
        <v>Sheep sales - local: no. sold</v>
      </c>
      <c r="B31" s="103">
        <f>IF([1]Summ!$J1066="",0,[1]Summ!$J1066)</f>
        <v>2400</v>
      </c>
      <c r="C31" s="103">
        <f>IF([1]Summ!$K1066="",0,[1]Summ!$K1066)</f>
        <v>0</v>
      </c>
      <c r="D31" s="38">
        <f t="shared" si="17"/>
        <v>2400</v>
      </c>
      <c r="E31" s="75">
        <f>Middle!E31</f>
        <v>1</v>
      </c>
      <c r="F31" s="75">
        <f>Middle!F31</f>
        <v>1.0900000000000001</v>
      </c>
      <c r="G31" s="22">
        <f t="shared" si="25"/>
        <v>1.1200000000000001</v>
      </c>
      <c r="H31" s="24">
        <f t="shared" si="18"/>
        <v>1.0900000000000001</v>
      </c>
      <c r="I31" s="39">
        <f t="shared" si="19"/>
        <v>2616</v>
      </c>
      <c r="J31" s="38">
        <f t="shared" si="20"/>
        <v>2616</v>
      </c>
      <c r="K31" s="40">
        <f t="shared" si="21"/>
        <v>7.0523332417035565E-3</v>
      </c>
      <c r="L31" s="22">
        <f t="shared" si="22"/>
        <v>7.6870432334568773E-3</v>
      </c>
      <c r="M31" s="24">
        <f t="shared" si="23"/>
        <v>7.6870432334568764E-3</v>
      </c>
      <c r="N31" s="2"/>
      <c r="O31" s="2"/>
      <c r="P31" s="2"/>
      <c r="Q31" s="2"/>
      <c r="R31" s="180"/>
      <c r="S31" s="180"/>
      <c r="T31" s="180"/>
      <c r="U31" s="56"/>
      <c r="V31" s="56"/>
      <c r="W31" s="114"/>
      <c r="X31" s="117">
        <f>X8</f>
        <v>1</v>
      </c>
      <c r="Y31" s="109"/>
      <c r="Z31" s="121">
        <f>Z8</f>
        <v>0.24532311011948979</v>
      </c>
      <c r="AA31" s="146">
        <f>$J31*Z31</f>
        <v>641.76525607258532</v>
      </c>
      <c r="AB31" s="121">
        <f>AB8</f>
        <v>0.48045133075799235</v>
      </c>
      <c r="AC31" s="146">
        <f>$J31*AB31</f>
        <v>1256.860681262908</v>
      </c>
      <c r="AD31" s="121">
        <f>AD8</f>
        <v>0.22482166867360368</v>
      </c>
      <c r="AE31" s="146">
        <f>$J31*AD31</f>
        <v>588.13348525014726</v>
      </c>
      <c r="AF31" s="121">
        <f t="shared" si="24"/>
        <v>4.9403890448914245E-2</v>
      </c>
      <c r="AG31" s="146">
        <f t="shared" si="26"/>
        <v>129.24057741435968</v>
      </c>
      <c r="AH31" s="122">
        <f t="shared" si="27"/>
        <v>1</v>
      </c>
      <c r="AI31" s="111">
        <f t="shared" si="27"/>
        <v>2616</v>
      </c>
      <c r="AJ31" s="147">
        <f t="shared" si="28"/>
        <v>1898.6259373354933</v>
      </c>
      <c r="AK31" s="146">
        <f t="shared" si="29"/>
        <v>717.37406266450694</v>
      </c>
      <c r="AP31" s="25"/>
      <c r="AQ31" s="25"/>
      <c r="AR31" s="25"/>
      <c r="AS31" s="25"/>
      <c r="AT31" s="25"/>
      <c r="AU31" s="25"/>
      <c r="AW31" s="25"/>
      <c r="AX31" s="25"/>
      <c r="AY31" s="25"/>
      <c r="AZ31" s="25"/>
      <c r="BA31" s="25"/>
      <c r="BB31" s="25"/>
      <c r="BF31" s="25"/>
      <c r="BG31" s="25"/>
      <c r="BH31" s="25"/>
      <c r="BI31" s="25"/>
      <c r="BJ31" s="25"/>
      <c r="BK31" s="25"/>
      <c r="BM31" s="25"/>
      <c r="BN31" s="25"/>
      <c r="BO31" s="25"/>
      <c r="BP31" s="25"/>
      <c r="BQ31" s="25"/>
      <c r="BR31" s="25"/>
      <c r="BU31" s="25"/>
      <c r="BV31" s="25"/>
      <c r="BW31" s="25"/>
      <c r="BX31" s="25"/>
      <c r="BY31" s="25"/>
      <c r="BZ31" s="25"/>
      <c r="CB31" s="25"/>
      <c r="CC31" s="25"/>
      <c r="CD31" s="25"/>
      <c r="CE31" s="25"/>
      <c r="CF31" s="25"/>
      <c r="CG31" s="25"/>
    </row>
    <row r="32" spans="1:89" ht="14" customHeight="1">
      <c r="A32" s="85" t="str">
        <f>IF(Poor!A32=0,"",Poor!A32)</f>
        <v>Maize: kg produced</v>
      </c>
      <c r="B32" s="103">
        <f>IF([1]Summ!$J1067="",0,[1]Summ!$J1067)</f>
        <v>3600</v>
      </c>
      <c r="C32" s="103">
        <f>IF([1]Summ!$K1067="",0,[1]Summ!$K1067)</f>
        <v>-3600</v>
      </c>
      <c r="D32" s="38">
        <f t="shared" si="17"/>
        <v>0</v>
      </c>
      <c r="E32" s="75">
        <f>Middle!E32</f>
        <v>1</v>
      </c>
      <c r="F32" s="75">
        <f>Middle!F32</f>
        <v>1.02</v>
      </c>
      <c r="G32" s="22">
        <f t="shared" si="25"/>
        <v>1.1200000000000001</v>
      </c>
      <c r="H32" s="24">
        <f t="shared" si="18"/>
        <v>1.02</v>
      </c>
      <c r="I32" s="39">
        <f t="shared" si="19"/>
        <v>0</v>
      </c>
      <c r="J32" s="38">
        <f t="shared" si="20"/>
        <v>3703.2832242305112</v>
      </c>
      <c r="K32" s="40">
        <f t="shared" si="21"/>
        <v>1.0578499862555334E-2</v>
      </c>
      <c r="L32" s="22">
        <f t="shared" si="22"/>
        <v>1.0790069859806441E-2</v>
      </c>
      <c r="M32" s="24">
        <f t="shared" si="23"/>
        <v>1.0881994744034982E-2</v>
      </c>
      <c r="N32" s="2"/>
      <c r="O32" s="2"/>
      <c r="P32" s="2"/>
      <c r="Q32" s="59" t="s">
        <v>143</v>
      </c>
      <c r="R32" s="249">
        <f>$B$57+((1-$D$21)*$B$70)</f>
        <v>16041.135719949451</v>
      </c>
      <c r="S32" s="249">
        <f>($B$57*$H$57)+((1-($D$21*$H$21))*$I$70)</f>
        <v>18219.891405717633</v>
      </c>
      <c r="T32" s="249">
        <f>($B$57*$H$57)+((1-($D$21*$H$21))*$I$70)</f>
        <v>18219.891405717633</v>
      </c>
      <c r="U32" s="56"/>
      <c r="V32" s="56"/>
      <c r="W32" s="114"/>
      <c r="X32" s="117">
        <f>X9</f>
        <v>1</v>
      </c>
      <c r="Y32" s="109"/>
      <c r="Z32" s="121">
        <f>Z9</f>
        <v>0.24532311011948976</v>
      </c>
      <c r="AA32" s="146">
        <f>$J32*Z32</f>
        <v>908.50095822156084</v>
      </c>
      <c r="AB32" s="121">
        <f>AB9</f>
        <v>0.48045133075799235</v>
      </c>
      <c r="AC32" s="146">
        <f>$J32*AB32</f>
        <v>1779.2473532552976</v>
      </c>
      <c r="AD32" s="121">
        <f>AD9</f>
        <v>0.22482166867360368</v>
      </c>
      <c r="AE32" s="146">
        <f>$J32*AD32</f>
        <v>832.57831404246679</v>
      </c>
      <c r="AF32" s="121">
        <f t="shared" si="24"/>
        <v>4.9403890448914245E-2</v>
      </c>
      <c r="AG32" s="146">
        <f t="shared" si="26"/>
        <v>182.9565987111861</v>
      </c>
      <c r="AH32" s="122">
        <f t="shared" si="27"/>
        <v>1</v>
      </c>
      <c r="AI32" s="111">
        <f t="shared" si="27"/>
        <v>3703.2832242305112</v>
      </c>
      <c r="AJ32" s="147">
        <f t="shared" si="28"/>
        <v>2687.7483114768584</v>
      </c>
      <c r="AK32" s="146">
        <f t="shared" si="29"/>
        <v>1015.5349127536529</v>
      </c>
      <c r="AP32" s="25"/>
      <c r="AQ32" s="25"/>
      <c r="AR32" s="25"/>
      <c r="AS32" s="25"/>
      <c r="AT32" s="25"/>
      <c r="AU32" s="25"/>
      <c r="AW32" s="25"/>
      <c r="AX32" s="25"/>
      <c r="AY32" s="25"/>
      <c r="AZ32" s="25"/>
      <c r="BA32" s="25"/>
      <c r="BB32" s="25"/>
      <c r="BF32" s="25"/>
      <c r="BG32" s="25"/>
      <c r="BH32" s="25"/>
      <c r="BI32" s="25"/>
      <c r="BJ32" s="25"/>
      <c r="BK32" s="25"/>
      <c r="BM32" s="25"/>
      <c r="BN32" s="25"/>
      <c r="BO32" s="25"/>
      <c r="BP32" s="25"/>
      <c r="BQ32" s="25"/>
      <c r="BR32" s="25"/>
      <c r="BU32" s="25"/>
      <c r="BV32" s="25"/>
      <c r="BW32" s="25"/>
      <c r="BX32" s="25"/>
      <c r="BY32" s="25"/>
      <c r="BZ32" s="25"/>
      <c r="CB32" s="25"/>
      <c r="CC32" s="25"/>
      <c r="CD32" s="25"/>
      <c r="CE32" s="25"/>
      <c r="CF32" s="25"/>
      <c r="CG32" s="25"/>
    </row>
    <row r="33" spans="1:85" ht="14" customHeight="1">
      <c r="A33" s="85" t="str">
        <f>IF(Poor!A33=0,"",Poor!A33)</f>
        <v>WILD FOODS -- see worksheet Data 3</v>
      </c>
      <c r="B33" s="103">
        <f>IF([1]Summ!$J1068="",0,[1]Summ!$J1068)</f>
        <v>0</v>
      </c>
      <c r="C33" s="103">
        <f>IF([1]Summ!$K1068="",0,[1]Summ!$K1068)</f>
        <v>0</v>
      </c>
      <c r="D33" s="38">
        <f t="shared" si="17"/>
        <v>0</v>
      </c>
      <c r="E33" s="75">
        <f>Middle!E33</f>
        <v>0.8</v>
      </c>
      <c r="F33" s="75">
        <f>Middle!F33</f>
        <v>1</v>
      </c>
      <c r="G33" s="22">
        <f t="shared" si="25"/>
        <v>1.1200000000000001</v>
      </c>
      <c r="H33" s="24">
        <f t="shared" si="18"/>
        <v>0.8</v>
      </c>
      <c r="I33" s="39">
        <f t="shared" si="19"/>
        <v>0</v>
      </c>
      <c r="J33" s="38">
        <f t="shared" si="20"/>
        <v>0</v>
      </c>
      <c r="K33" s="40">
        <f t="shared" si="21"/>
        <v>0</v>
      </c>
      <c r="L33" s="22">
        <f t="shared" si="22"/>
        <v>0</v>
      </c>
      <c r="M33" s="24">
        <f t="shared" si="23"/>
        <v>0</v>
      </c>
      <c r="N33" s="2"/>
      <c r="O33" s="2"/>
      <c r="P33" s="2"/>
      <c r="Q33" s="59" t="s">
        <v>144</v>
      </c>
      <c r="R33" s="249">
        <f>$B$57+$B$58+((1-$D$21)*$B$70)</f>
        <v>25777.80238661612</v>
      </c>
      <c r="S33" s="41">
        <f>(($B$57*$H$57)+($B$58*$H$58)+((1-($D$21*$H$21))*$I$70))</f>
        <v>29027.591405717634</v>
      </c>
      <c r="T33" s="41">
        <f>(($B$57*$H$57)+($B$58*$H$58)+((1-($D$21*$H$21))*$I$70))</f>
        <v>29027.591405717634</v>
      </c>
      <c r="U33" s="56"/>
      <c r="V33" s="56"/>
      <c r="W33" s="114"/>
      <c r="X33" s="117">
        <f>X11</f>
        <v>1</v>
      </c>
      <c r="Y33" s="109"/>
      <c r="Z33" s="121">
        <f>Z11</f>
        <v>0.24532311011948976</v>
      </c>
      <c r="AA33" s="146">
        <f>$J33*Z33</f>
        <v>0</v>
      </c>
      <c r="AB33" s="121">
        <f>AB11</f>
        <v>0.48045133075799235</v>
      </c>
      <c r="AC33" s="146">
        <f>$J33*AB33</f>
        <v>0</v>
      </c>
      <c r="AD33" s="121">
        <f>AD11</f>
        <v>0.22482166867360368</v>
      </c>
      <c r="AE33" s="146">
        <f>$J33*AD33</f>
        <v>0</v>
      </c>
      <c r="AF33" s="121">
        <f t="shared" si="24"/>
        <v>4.9403890448914245E-2</v>
      </c>
      <c r="AG33" s="146">
        <f t="shared" si="26"/>
        <v>0</v>
      </c>
      <c r="AH33" s="122">
        <f t="shared" si="27"/>
        <v>1</v>
      </c>
      <c r="AI33" s="111">
        <f t="shared" si="27"/>
        <v>0</v>
      </c>
      <c r="AJ33" s="147">
        <f t="shared" si="28"/>
        <v>0</v>
      </c>
      <c r="AK33" s="146">
        <f t="shared" si="29"/>
        <v>0</v>
      </c>
      <c r="AP33" s="25"/>
      <c r="AQ33" s="25"/>
      <c r="AR33" s="25"/>
      <c r="AS33" s="25"/>
      <c r="AT33" s="25"/>
      <c r="AU33" s="25"/>
      <c r="AW33" s="25"/>
      <c r="AX33" s="25"/>
      <c r="AY33" s="25"/>
      <c r="AZ33" s="25"/>
      <c r="BA33" s="25"/>
      <c r="BB33" s="25"/>
      <c r="BF33" s="25"/>
      <c r="BG33" s="25"/>
      <c r="BH33" s="25"/>
      <c r="BI33" s="25"/>
      <c r="BJ33" s="25"/>
      <c r="BK33" s="25"/>
      <c r="BM33" s="25"/>
      <c r="BN33" s="25"/>
      <c r="BO33" s="25"/>
      <c r="BP33" s="25"/>
      <c r="BQ33" s="25"/>
      <c r="BR33" s="25"/>
      <c r="BU33" s="25"/>
      <c r="BV33" s="25"/>
      <c r="BW33" s="25"/>
      <c r="BX33" s="25"/>
      <c r="BY33" s="25"/>
      <c r="BZ33" s="25"/>
      <c r="CB33" s="25"/>
      <c r="CC33" s="25"/>
      <c r="CD33" s="25"/>
      <c r="CE33" s="25"/>
      <c r="CF33" s="25"/>
      <c r="CG33" s="25"/>
    </row>
    <row r="34" spans="1:85" ht="14" customHeight="1">
      <c r="A34" s="85" t="str">
        <f>IF(Poor!A34=0,"",Poor!A34)</f>
        <v>Agricultural cash income -- see Data2</v>
      </c>
      <c r="B34" s="103">
        <f>IF([1]Summ!$J1069="",0,[1]Summ!$J1069)</f>
        <v>0</v>
      </c>
      <c r="C34" s="103">
        <f>IF([1]Summ!$K1069="",0,[1]Summ!$K1069)</f>
        <v>0</v>
      </c>
      <c r="D34" s="38">
        <f t="shared" si="17"/>
        <v>0</v>
      </c>
      <c r="E34" s="75">
        <f>Middle!E34</f>
        <v>0.87</v>
      </c>
      <c r="F34" s="75">
        <f>Middle!F34</f>
        <v>1.1100000000000001</v>
      </c>
      <c r="G34" s="22">
        <f t="shared" si="25"/>
        <v>1.1200000000000001</v>
      </c>
      <c r="H34" s="24">
        <f t="shared" si="18"/>
        <v>0.96570000000000011</v>
      </c>
      <c r="I34" s="39">
        <f t="shared" si="19"/>
        <v>0</v>
      </c>
      <c r="J34" s="38">
        <f t="shared" si="20"/>
        <v>0</v>
      </c>
      <c r="K34" s="40">
        <f t="shared" si="21"/>
        <v>0</v>
      </c>
      <c r="L34" s="22">
        <f t="shared" si="22"/>
        <v>0</v>
      </c>
      <c r="M34" s="24">
        <f t="shared" si="23"/>
        <v>0</v>
      </c>
      <c r="N34" s="2"/>
      <c r="O34" s="2"/>
      <c r="P34" s="2"/>
      <c r="Q34" s="59" t="s">
        <v>145</v>
      </c>
      <c r="R34" s="249">
        <f>$B$57+$B$58+$B$59+((1-$D$21)*$B$70)</f>
        <v>43117.802386616124</v>
      </c>
      <c r="S34" s="41">
        <f>(($B$57*$H$57)+($B$58*$H$58)+($B$59*$H$59)+((1-($D$21*$H$21))*$I$70))</f>
        <v>48274.991405717636</v>
      </c>
      <c r="T34" s="41">
        <f>(($B$57*$H$57)+($B$58*$H$58)+($B$59*$H$59)+((1-($D$21*$H$21))*$I$70))</f>
        <v>48274.991405717636</v>
      </c>
      <c r="U34" s="56"/>
      <c r="V34" s="56"/>
      <c r="W34" s="114"/>
      <c r="X34" s="117"/>
      <c r="Y34" s="109"/>
      <c r="Z34" s="155">
        <f>Poor!Z34</f>
        <v>0.25</v>
      </c>
      <c r="AA34" s="146">
        <f t="shared" ref="AA34:AA51" si="30">$J34*Z34</f>
        <v>0</v>
      </c>
      <c r="AB34" s="155">
        <f>Poor!AB34</f>
        <v>0</v>
      </c>
      <c r="AC34" s="146">
        <f t="shared" ref="AC34:AC51" si="31">$J34*AB34</f>
        <v>0</v>
      </c>
      <c r="AD34" s="155">
        <f>Poor!AD34</f>
        <v>0.5</v>
      </c>
      <c r="AE34" s="146">
        <f t="shared" ref="AE34:AE51" si="32">$J34*AD34</f>
        <v>0</v>
      </c>
      <c r="AF34" s="121">
        <f t="shared" si="24"/>
        <v>0.25</v>
      </c>
      <c r="AG34" s="146">
        <f t="shared" si="26"/>
        <v>0</v>
      </c>
      <c r="AH34" s="122">
        <f t="shared" si="27"/>
        <v>1</v>
      </c>
      <c r="AI34" s="111">
        <f t="shared" si="27"/>
        <v>0</v>
      </c>
      <c r="AJ34" s="147">
        <f t="shared" si="28"/>
        <v>0</v>
      </c>
      <c r="AK34" s="146">
        <f t="shared" si="29"/>
        <v>0</v>
      </c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5" ht="14" customHeight="1">
      <c r="A35" s="85" t="str">
        <f>IF(Poor!A35=0,"",Poor!A35)</f>
        <v>Domestic work cash income -- see Data2</v>
      </c>
      <c r="B35" s="103">
        <f>IF([1]Summ!$J1070="",0,[1]Summ!$J1070)</f>
        <v>0</v>
      </c>
      <c r="C35" s="103">
        <f>IF([1]Summ!$K1070="",0,[1]Summ!$K1070)</f>
        <v>0</v>
      </c>
      <c r="D35" s="38">
        <f t="shared" si="17"/>
        <v>0</v>
      </c>
      <c r="E35" s="75">
        <f>Middle!E35</f>
        <v>1</v>
      </c>
      <c r="F35" s="75">
        <f>Middle!F35</f>
        <v>1.1000000000000001</v>
      </c>
      <c r="G35" s="22">
        <f t="shared" si="25"/>
        <v>1.1200000000000001</v>
      </c>
      <c r="H35" s="24">
        <f t="shared" si="18"/>
        <v>1.1000000000000001</v>
      </c>
      <c r="I35" s="39">
        <f t="shared" si="19"/>
        <v>0</v>
      </c>
      <c r="J35" s="38">
        <f t="shared" si="20"/>
        <v>0</v>
      </c>
      <c r="K35" s="40">
        <f t="shared" si="21"/>
        <v>0</v>
      </c>
      <c r="L35" s="22">
        <f t="shared" si="22"/>
        <v>0</v>
      </c>
      <c r="M35" s="24">
        <f t="shared" si="23"/>
        <v>0</v>
      </c>
      <c r="N35" s="2"/>
      <c r="O35" s="2"/>
      <c r="P35" s="2"/>
      <c r="Q35" s="59" t="s">
        <v>146</v>
      </c>
      <c r="R35" s="249">
        <f>$B$57+$B$58+$B$59+$B$60+((1-$D$20-$D$21)*$B$70)</f>
        <v>93397.802386616109</v>
      </c>
      <c r="S35" s="41">
        <f>(($B$57*$H$57)+($B$58*$H$58)+($B$59*$H$59)+($B$60*$H$60)+((1-($D$20*$H$20)-($D$21*$H$21))*$I$70))</f>
        <v>104085.79140571764</v>
      </c>
      <c r="T35" s="41">
        <f>(($B$57*$H$57)+($B$58*$H$58)+($B$59*$H$59)+($B$60*$H$60)+((1-($D$20*$H$20)-($D$21*$H$21))*$I$70))</f>
        <v>104085.79140571764</v>
      </c>
      <c r="U35" s="56"/>
      <c r="V35" s="56"/>
      <c r="W35" s="114"/>
      <c r="X35" s="117"/>
      <c r="Y35" s="109"/>
      <c r="Z35" s="155">
        <f>Poor!Z35</f>
        <v>0.25</v>
      </c>
      <c r="AA35" s="146">
        <f t="shared" si="30"/>
        <v>0</v>
      </c>
      <c r="AB35" s="155">
        <f>Poor!AB35</f>
        <v>0.25</v>
      </c>
      <c r="AC35" s="146">
        <f t="shared" si="31"/>
        <v>0</v>
      </c>
      <c r="AD35" s="155">
        <f>Poor!AD35</f>
        <v>0.25</v>
      </c>
      <c r="AE35" s="146">
        <f t="shared" si="32"/>
        <v>0</v>
      </c>
      <c r="AF35" s="121">
        <f t="shared" si="24"/>
        <v>0.25</v>
      </c>
      <c r="AG35" s="146">
        <f t="shared" si="26"/>
        <v>0</v>
      </c>
      <c r="AH35" s="122">
        <f t="shared" si="27"/>
        <v>1</v>
      </c>
      <c r="AI35" s="111">
        <f t="shared" si="27"/>
        <v>0</v>
      </c>
      <c r="AJ35" s="147">
        <f t="shared" si="28"/>
        <v>0</v>
      </c>
      <c r="AK35" s="146">
        <f t="shared" si="29"/>
        <v>0</v>
      </c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5" ht="14" customHeight="1">
      <c r="A36" s="85" t="str">
        <f>IF(Poor!A36=0,"",Poor!A36)</f>
        <v>Formal Employment (conservancies, etc.)</v>
      </c>
      <c r="B36" s="103">
        <f>IF([1]Summ!$J1071="",0,[1]Summ!$J1071)</f>
        <v>264000</v>
      </c>
      <c r="C36" s="103">
        <f>IF([1]Summ!$K1071="",0,[1]Summ!$K1071)</f>
        <v>0</v>
      </c>
      <c r="D36" s="38">
        <f t="shared" si="17"/>
        <v>264000</v>
      </c>
      <c r="E36" s="75">
        <f>Middle!E36</f>
        <v>1</v>
      </c>
      <c r="F36" s="75">
        <f>Middle!F36</f>
        <v>1.07</v>
      </c>
      <c r="G36" s="22">
        <f t="shared" si="25"/>
        <v>1.1200000000000001</v>
      </c>
      <c r="H36" s="24">
        <f t="shared" si="18"/>
        <v>1.07</v>
      </c>
      <c r="I36" s="39">
        <f t="shared" si="19"/>
        <v>282480</v>
      </c>
      <c r="J36" s="38">
        <f t="shared" si="20"/>
        <v>282480</v>
      </c>
      <c r="K36" s="40">
        <f t="shared" si="21"/>
        <v>0.77575665658739112</v>
      </c>
      <c r="L36" s="22">
        <f t="shared" si="22"/>
        <v>0.83005962254850851</v>
      </c>
      <c r="M36" s="24">
        <f t="shared" si="23"/>
        <v>0.83005962254850851</v>
      </c>
      <c r="N36" s="2"/>
      <c r="O36" s="2"/>
      <c r="P36" s="2"/>
      <c r="Q36" s="59"/>
      <c r="R36" s="224"/>
      <c r="S36" s="224"/>
      <c r="T36" s="224"/>
      <c r="U36" s="56"/>
      <c r="V36" s="56"/>
      <c r="W36" s="116"/>
      <c r="X36" s="117"/>
      <c r="Y36" s="109"/>
      <c r="Z36" s="155">
        <f>Poor!Z36</f>
        <v>0.25</v>
      </c>
      <c r="AA36" s="146">
        <f t="shared" si="30"/>
        <v>70620</v>
      </c>
      <c r="AB36" s="155">
        <f>Poor!AB36</f>
        <v>0.25</v>
      </c>
      <c r="AC36" s="146">
        <f t="shared" si="31"/>
        <v>70620</v>
      </c>
      <c r="AD36" s="155">
        <f>Poor!AD36</f>
        <v>0.25</v>
      </c>
      <c r="AE36" s="146">
        <f t="shared" si="32"/>
        <v>70620</v>
      </c>
      <c r="AF36" s="121">
        <f t="shared" si="24"/>
        <v>0.25</v>
      </c>
      <c r="AG36" s="146">
        <f t="shared" si="26"/>
        <v>70620</v>
      </c>
      <c r="AH36" s="122">
        <f t="shared" si="27"/>
        <v>1</v>
      </c>
      <c r="AI36" s="111">
        <f t="shared" si="27"/>
        <v>282480</v>
      </c>
      <c r="AJ36" s="147">
        <f t="shared" si="28"/>
        <v>141240</v>
      </c>
      <c r="AK36" s="146">
        <f t="shared" si="29"/>
        <v>141240</v>
      </c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5" ht="14" customHeight="1">
      <c r="A37" s="85" t="str">
        <f>IF(Poor!A37=0,"",Poor!A37)</f>
        <v>Self-employment -- see Data2</v>
      </c>
      <c r="B37" s="103">
        <f>IF([1]Summ!$J1072="",0,[1]Summ!$J1072)</f>
        <v>0</v>
      </c>
      <c r="C37" s="103">
        <f>IF([1]Summ!$K1072="",0,[1]Summ!$K1072)</f>
        <v>0</v>
      </c>
      <c r="D37" s="38">
        <f t="shared" si="17"/>
        <v>0</v>
      </c>
      <c r="E37" s="75">
        <f>Middle!E37</f>
        <v>1</v>
      </c>
      <c r="F37" s="75">
        <f>Middle!F37</f>
        <v>1.1000000000000001</v>
      </c>
      <c r="G37" s="22">
        <f t="shared" si="25"/>
        <v>1.1200000000000001</v>
      </c>
      <c r="H37" s="24">
        <f t="shared" si="18"/>
        <v>1.1000000000000001</v>
      </c>
      <c r="I37" s="39">
        <f t="shared" si="19"/>
        <v>0</v>
      </c>
      <c r="J37" s="38">
        <f t="shared" si="20"/>
        <v>0</v>
      </c>
      <c r="K37" s="40">
        <f t="shared" si="21"/>
        <v>0</v>
      </c>
      <c r="L37" s="22">
        <f t="shared" si="22"/>
        <v>0</v>
      </c>
      <c r="M37" s="24">
        <f t="shared" si="23"/>
        <v>0</v>
      </c>
      <c r="N37" s="2"/>
      <c r="O37" s="2"/>
      <c r="P37" s="2"/>
      <c r="Q37" s="56"/>
      <c r="R37" s="225"/>
      <c r="S37" s="225"/>
      <c r="T37" s="225"/>
      <c r="U37" s="56"/>
      <c r="V37" s="56"/>
      <c r="W37" s="109"/>
      <c r="X37" s="117"/>
      <c r="Y37" s="109"/>
      <c r="Z37" s="155">
        <f>Poor!Z37</f>
        <v>0.25</v>
      </c>
      <c r="AA37" s="146">
        <f t="shared" si="30"/>
        <v>0</v>
      </c>
      <c r="AB37" s="155">
        <f>Poor!AB37</f>
        <v>0.25</v>
      </c>
      <c r="AC37" s="146">
        <f t="shared" si="31"/>
        <v>0</v>
      </c>
      <c r="AD37" s="155">
        <f>Poor!AD37</f>
        <v>0.25</v>
      </c>
      <c r="AE37" s="146">
        <f t="shared" si="32"/>
        <v>0</v>
      </c>
      <c r="AF37" s="121">
        <f t="shared" si="24"/>
        <v>0.25</v>
      </c>
      <c r="AG37" s="146">
        <f t="shared" si="26"/>
        <v>0</v>
      </c>
      <c r="AH37" s="122">
        <f t="shared" si="27"/>
        <v>1</v>
      </c>
      <c r="AI37" s="111">
        <f t="shared" si="27"/>
        <v>0</v>
      </c>
      <c r="AJ37" s="147">
        <f t="shared" si="28"/>
        <v>0</v>
      </c>
      <c r="AK37" s="146">
        <f t="shared" si="29"/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5" ht="14" customHeight="1">
      <c r="A38" s="85" t="str">
        <f>IF(Poor!A38=0,"",Poor!A38)</f>
        <v>Small business -- see Data2</v>
      </c>
      <c r="B38" s="103">
        <f>IF([1]Summ!$J1073="",0,[1]Summ!$J1073)</f>
        <v>46800</v>
      </c>
      <c r="C38" s="103">
        <f>IF([1]Summ!$K1073="",0,[1]Summ!$K1073)</f>
        <v>0</v>
      </c>
      <c r="D38" s="38">
        <f t="shared" si="17"/>
        <v>46800</v>
      </c>
      <c r="E38" s="75">
        <f>Middle!E38</f>
        <v>1</v>
      </c>
      <c r="F38" s="75">
        <f>Middle!F38</f>
        <v>1.05</v>
      </c>
      <c r="G38" s="22">
        <f t="shared" si="25"/>
        <v>1.1200000000000001</v>
      </c>
      <c r="H38" s="24">
        <f t="shared" si="18"/>
        <v>1.05</v>
      </c>
      <c r="I38" s="39">
        <f t="shared" si="19"/>
        <v>49140</v>
      </c>
      <c r="J38" s="38">
        <f t="shared" si="20"/>
        <v>49140.000000000007</v>
      </c>
      <c r="K38" s="40">
        <f t="shared" si="21"/>
        <v>0.13752049821321935</v>
      </c>
      <c r="L38" s="22">
        <f t="shared" si="22"/>
        <v>0.14439652312388032</v>
      </c>
      <c r="M38" s="24">
        <f t="shared" si="23"/>
        <v>0.14439652312388032</v>
      </c>
      <c r="N38" s="2"/>
      <c r="O38" s="2"/>
      <c r="P38" s="2"/>
      <c r="Q38" s="59"/>
      <c r="R38" s="224"/>
      <c r="S38" s="224"/>
      <c r="T38" s="224"/>
      <c r="U38" s="56"/>
      <c r="V38" s="56"/>
      <c r="W38" s="109"/>
      <c r="X38" s="117"/>
      <c r="Y38" s="109"/>
      <c r="Z38" s="155">
        <f>Poor!Z38</f>
        <v>0.25</v>
      </c>
      <c r="AA38" s="146">
        <f t="shared" si="30"/>
        <v>12285.000000000002</v>
      </c>
      <c r="AB38" s="155">
        <f>Poor!AB38</f>
        <v>0.25</v>
      </c>
      <c r="AC38" s="146">
        <f t="shared" si="31"/>
        <v>12285.000000000002</v>
      </c>
      <c r="AD38" s="155">
        <f>Poor!AD38</f>
        <v>0.25</v>
      </c>
      <c r="AE38" s="146">
        <f t="shared" si="32"/>
        <v>12285.000000000002</v>
      </c>
      <c r="AF38" s="121">
        <f t="shared" si="24"/>
        <v>0.25</v>
      </c>
      <c r="AG38" s="146">
        <f t="shared" si="26"/>
        <v>12285.000000000002</v>
      </c>
      <c r="AH38" s="122">
        <f t="shared" si="27"/>
        <v>1</v>
      </c>
      <c r="AI38" s="111">
        <f t="shared" si="27"/>
        <v>49140.000000000007</v>
      </c>
      <c r="AJ38" s="147">
        <f t="shared" si="28"/>
        <v>24570.000000000004</v>
      </c>
      <c r="AK38" s="146">
        <f t="shared" si="29"/>
        <v>24570.000000000004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5" ht="14" customHeight="1">
      <c r="A39" s="85" t="str">
        <f>IF(Poor!A39=0,"",Poor!A39)</f>
        <v>Social Cash Transfers -- see Data2</v>
      </c>
      <c r="B39" s="103">
        <f>IF([1]Summ!$J1074="",0,[1]Summ!$J1074)</f>
        <v>8312.9032258064526</v>
      </c>
      <c r="C39" s="103">
        <f>IF([1]Summ!$K1074="",0,[1]Summ!$K1074)</f>
        <v>0</v>
      </c>
      <c r="D39" s="38">
        <f t="shared" si="17"/>
        <v>8312.9032258064526</v>
      </c>
      <c r="E39" s="75">
        <f>Middle!E39</f>
        <v>1</v>
      </c>
      <c r="F39" s="75">
        <f>Middle!F39</f>
        <v>1.1100000000000001</v>
      </c>
      <c r="G39" s="22">
        <f t="shared" si="25"/>
        <v>1.1200000000000001</v>
      </c>
      <c r="H39" s="24">
        <f t="shared" si="18"/>
        <v>1.1100000000000001</v>
      </c>
      <c r="I39" s="39">
        <f t="shared" si="19"/>
        <v>9227.3225806451628</v>
      </c>
      <c r="J39" s="38">
        <f t="shared" si="20"/>
        <v>9227.3225806451646</v>
      </c>
      <c r="K39" s="40">
        <f t="shared" si="21"/>
        <v>2.4427234897674819E-2</v>
      </c>
      <c r="L39" s="22">
        <f t="shared" si="22"/>
        <v>2.711423073641905E-2</v>
      </c>
      <c r="M39" s="24">
        <f t="shared" si="23"/>
        <v>2.7114230736419057E-2</v>
      </c>
      <c r="N39" s="2"/>
      <c r="O39" s="2"/>
      <c r="P39" s="2"/>
      <c r="Q39" s="2"/>
      <c r="R39" s="2"/>
      <c r="S39" s="2"/>
      <c r="T39" s="2"/>
      <c r="U39" s="56"/>
      <c r="V39" s="56"/>
      <c r="W39" s="109"/>
      <c r="X39" s="117"/>
      <c r="Y39" s="109"/>
      <c r="Z39" s="155">
        <f>Poor!Z39</f>
        <v>0.25</v>
      </c>
      <c r="AA39" s="146">
        <f t="shared" si="30"/>
        <v>2306.8306451612912</v>
      </c>
      <c r="AB39" s="155">
        <f>Poor!AB39</f>
        <v>0.25</v>
      </c>
      <c r="AC39" s="146">
        <f t="shared" si="31"/>
        <v>2306.8306451612912</v>
      </c>
      <c r="AD39" s="155">
        <f>Poor!AD39</f>
        <v>0.25</v>
      </c>
      <c r="AE39" s="146">
        <f t="shared" si="32"/>
        <v>2306.8306451612912</v>
      </c>
      <c r="AF39" s="121">
        <f t="shared" si="24"/>
        <v>0.25</v>
      </c>
      <c r="AG39" s="146">
        <f t="shared" si="26"/>
        <v>2306.8306451612912</v>
      </c>
      <c r="AH39" s="122">
        <f t="shared" si="27"/>
        <v>1</v>
      </c>
      <c r="AI39" s="111">
        <f t="shared" si="27"/>
        <v>9227.3225806451646</v>
      </c>
      <c r="AJ39" s="147">
        <f t="shared" si="28"/>
        <v>4613.6612903225823</v>
      </c>
      <c r="AK39" s="146">
        <f t="shared" si="29"/>
        <v>4613.6612903225823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5" ht="14" customHeight="1">
      <c r="A40" s="85" t="str">
        <f>IF(Poor!A40=0,"",Poor!A40)</f>
        <v/>
      </c>
      <c r="B40" s="103">
        <f>IF([1]Summ!$J1075="",0,[1]Summ!$J1075)</f>
        <v>0</v>
      </c>
      <c r="C40" s="103">
        <f>IF([1]Summ!$K1075="",0,[1]Summ!$K1075)</f>
        <v>0</v>
      </c>
      <c r="D40" s="38">
        <f t="shared" si="17"/>
        <v>0</v>
      </c>
      <c r="E40" s="75">
        <f>Middle!E40</f>
        <v>1</v>
      </c>
      <c r="F40" s="75">
        <f>Middle!F40</f>
        <v>1</v>
      </c>
      <c r="G40" s="22">
        <f t="shared" si="25"/>
        <v>1.1200000000000001</v>
      </c>
      <c r="H40" s="24">
        <f t="shared" si="18"/>
        <v>1</v>
      </c>
      <c r="I40" s="39">
        <f t="shared" si="19"/>
        <v>0</v>
      </c>
      <c r="J40" s="38">
        <f t="shared" si="20"/>
        <v>0</v>
      </c>
      <c r="K40" s="40">
        <f t="shared" si="21"/>
        <v>0</v>
      </c>
      <c r="L40" s="22">
        <f t="shared" si="22"/>
        <v>0</v>
      </c>
      <c r="M40" s="24">
        <f t="shared" si="23"/>
        <v>0</v>
      </c>
      <c r="N40" s="2"/>
      <c r="O40" s="2"/>
      <c r="P40" s="2"/>
      <c r="Q40" s="2"/>
      <c r="R40" s="2"/>
      <c r="S40" s="2"/>
      <c r="T40" s="2"/>
      <c r="U40" s="56"/>
      <c r="V40" s="56"/>
      <c r="W40" s="109"/>
      <c r="X40" s="117"/>
      <c r="Y40" s="109"/>
      <c r="Z40" s="155">
        <f>Poor!Z40</f>
        <v>0.25</v>
      </c>
      <c r="AA40" s="146">
        <f t="shared" si="30"/>
        <v>0</v>
      </c>
      <c r="AB40" s="155">
        <f>Poor!AB40</f>
        <v>0.25</v>
      </c>
      <c r="AC40" s="146">
        <f t="shared" si="31"/>
        <v>0</v>
      </c>
      <c r="AD40" s="155">
        <f>Poor!AD40</f>
        <v>0.25</v>
      </c>
      <c r="AE40" s="146">
        <f t="shared" si="32"/>
        <v>0</v>
      </c>
      <c r="AF40" s="121">
        <f t="shared" si="24"/>
        <v>0.25</v>
      </c>
      <c r="AG40" s="146">
        <f t="shared" si="26"/>
        <v>0</v>
      </c>
      <c r="AH40" s="122">
        <f t="shared" si="27"/>
        <v>1</v>
      </c>
      <c r="AI40" s="111">
        <f t="shared" si="27"/>
        <v>0</v>
      </c>
      <c r="AJ40" s="147">
        <f t="shared" si="28"/>
        <v>0</v>
      </c>
      <c r="AK40" s="146">
        <f t="shared" si="2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5" ht="14" customHeight="1">
      <c r="A41" s="85" t="str">
        <f>IF(Poor!A41=0,"",Poor!A41)</f>
        <v/>
      </c>
      <c r="B41" s="103">
        <f>IF([1]Summ!$J1076="",0,[1]Summ!$J1076)</f>
        <v>0</v>
      </c>
      <c r="C41" s="103">
        <f>IF([1]Summ!$K1076="",0,[1]Summ!$K1076)</f>
        <v>0</v>
      </c>
      <c r="D41" s="38">
        <f t="shared" si="17"/>
        <v>0</v>
      </c>
      <c r="E41" s="75">
        <f>Middle!E41</f>
        <v>1</v>
      </c>
      <c r="F41" s="75">
        <f>Middle!F41</f>
        <v>1</v>
      </c>
      <c r="G41" s="22">
        <f t="shared" si="25"/>
        <v>1.1200000000000001</v>
      </c>
      <c r="H41" s="24">
        <f t="shared" si="18"/>
        <v>1</v>
      </c>
      <c r="I41" s="39">
        <f t="shared" si="19"/>
        <v>0</v>
      </c>
      <c r="J41" s="38">
        <f t="shared" si="20"/>
        <v>0</v>
      </c>
      <c r="K41" s="40">
        <f t="shared" si="21"/>
        <v>0</v>
      </c>
      <c r="L41" s="22">
        <f t="shared" si="22"/>
        <v>0</v>
      </c>
      <c r="M41" s="24">
        <f t="shared" si="23"/>
        <v>0</v>
      </c>
      <c r="N41" s="2"/>
      <c r="O41" s="2"/>
      <c r="P41" s="2"/>
      <c r="Q41" s="2"/>
      <c r="R41" s="2"/>
      <c r="S41" s="2"/>
      <c r="T41" s="2"/>
      <c r="U41" s="56"/>
      <c r="V41" s="56"/>
      <c r="W41" s="109"/>
      <c r="X41" s="117"/>
      <c r="Y41" s="109"/>
      <c r="Z41" s="155">
        <f>Poor!Z41</f>
        <v>0.25</v>
      </c>
      <c r="AA41" s="146">
        <f t="shared" si="30"/>
        <v>0</v>
      </c>
      <c r="AB41" s="155">
        <f>Poor!AB41</f>
        <v>0.25</v>
      </c>
      <c r="AC41" s="146">
        <f t="shared" si="31"/>
        <v>0</v>
      </c>
      <c r="AD41" s="155">
        <f>Poor!AD41</f>
        <v>0.25</v>
      </c>
      <c r="AE41" s="146">
        <f t="shared" si="32"/>
        <v>0</v>
      </c>
      <c r="AF41" s="121">
        <f t="shared" si="24"/>
        <v>0.25</v>
      </c>
      <c r="AG41" s="146">
        <f t="shared" si="26"/>
        <v>0</v>
      </c>
      <c r="AH41" s="122">
        <f t="shared" si="27"/>
        <v>1</v>
      </c>
      <c r="AI41" s="111">
        <f t="shared" si="27"/>
        <v>0</v>
      </c>
      <c r="AJ41" s="147">
        <f t="shared" si="28"/>
        <v>0</v>
      </c>
      <c r="AK41" s="146">
        <f t="shared" si="2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5" ht="14" customHeight="1">
      <c r="A42" s="85" t="str">
        <f>IF(Poor!A42=0,"",Poor!A42)</f>
        <v/>
      </c>
      <c r="B42" s="103">
        <f>IF([1]Summ!$J1077="",0,[1]Summ!$J1077)</f>
        <v>0</v>
      </c>
      <c r="C42" s="103">
        <f>IF([1]Summ!$K1077="",0,[1]Summ!$K1077)</f>
        <v>0</v>
      </c>
      <c r="D42" s="38">
        <f t="shared" si="17"/>
        <v>0</v>
      </c>
      <c r="E42" s="75">
        <f>Middle!E42</f>
        <v>1</v>
      </c>
      <c r="F42" s="75">
        <f>Middle!F42</f>
        <v>1</v>
      </c>
      <c r="G42" s="22">
        <f t="shared" si="25"/>
        <v>1.1200000000000001</v>
      </c>
      <c r="H42" s="24">
        <f t="shared" si="18"/>
        <v>1</v>
      </c>
      <c r="I42" s="39">
        <f t="shared" si="19"/>
        <v>0</v>
      </c>
      <c r="J42" s="38">
        <f t="shared" si="20"/>
        <v>0</v>
      </c>
      <c r="K42" s="40">
        <f t="shared" si="21"/>
        <v>0</v>
      </c>
      <c r="L42" s="22">
        <f t="shared" si="22"/>
        <v>0</v>
      </c>
      <c r="M42" s="24">
        <f t="shared" si="23"/>
        <v>0</v>
      </c>
      <c r="N42" s="2"/>
      <c r="O42" s="2"/>
      <c r="P42" s="2"/>
      <c r="Q42" s="2"/>
      <c r="R42" s="2"/>
      <c r="S42" s="2"/>
      <c r="T42" s="2"/>
      <c r="U42" s="56"/>
      <c r="V42" s="56"/>
      <c r="W42" s="109"/>
      <c r="X42" s="117"/>
      <c r="Y42" s="109"/>
      <c r="Z42" s="155">
        <f>Poor!Z42</f>
        <v>0.25</v>
      </c>
      <c r="AA42" s="146">
        <f t="shared" si="30"/>
        <v>0</v>
      </c>
      <c r="AB42" s="155">
        <f>Poor!AB42</f>
        <v>0.25</v>
      </c>
      <c r="AC42" s="146">
        <f t="shared" si="31"/>
        <v>0</v>
      </c>
      <c r="AD42" s="155">
        <f>Poor!AD42</f>
        <v>0.25</v>
      </c>
      <c r="AE42" s="146">
        <f t="shared" si="32"/>
        <v>0</v>
      </c>
      <c r="AF42" s="121">
        <f t="shared" si="24"/>
        <v>0.25</v>
      </c>
      <c r="AG42" s="146">
        <f t="shared" si="26"/>
        <v>0</v>
      </c>
      <c r="AH42" s="122">
        <f t="shared" si="27"/>
        <v>1</v>
      </c>
      <c r="AI42" s="111">
        <f t="shared" si="27"/>
        <v>0</v>
      </c>
      <c r="AJ42" s="147">
        <f t="shared" si="28"/>
        <v>0</v>
      </c>
      <c r="AK42" s="146">
        <f t="shared" si="2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5" ht="14" customHeight="1">
      <c r="A43" s="85" t="str">
        <f>IF(Poor!A43=0,"",Poor!A43)</f>
        <v/>
      </c>
      <c r="B43" s="103">
        <f>IF([1]Summ!$J1078="",0,[1]Summ!$J1078)</f>
        <v>0</v>
      </c>
      <c r="C43" s="103">
        <f>IF([1]Summ!$K1078="",0,[1]Summ!$K1078)</f>
        <v>0</v>
      </c>
      <c r="D43" s="38">
        <f t="shared" si="17"/>
        <v>0</v>
      </c>
      <c r="E43" s="75">
        <f>Middle!E43</f>
        <v>1</v>
      </c>
      <c r="F43" s="75">
        <f>Middle!F43</f>
        <v>1</v>
      </c>
      <c r="G43" s="22">
        <f t="shared" si="25"/>
        <v>1.1200000000000001</v>
      </c>
      <c r="H43" s="24">
        <f t="shared" si="18"/>
        <v>1</v>
      </c>
      <c r="I43" s="39">
        <f t="shared" si="19"/>
        <v>0</v>
      </c>
      <c r="J43" s="38">
        <f t="shared" si="20"/>
        <v>0</v>
      </c>
      <c r="K43" s="40">
        <f t="shared" si="21"/>
        <v>0</v>
      </c>
      <c r="L43" s="22">
        <f t="shared" si="22"/>
        <v>0</v>
      </c>
      <c r="M43" s="24">
        <f t="shared" si="23"/>
        <v>0</v>
      </c>
      <c r="N43" s="2"/>
      <c r="O43" s="2"/>
      <c r="P43" s="2"/>
      <c r="Q43" s="2"/>
      <c r="R43" s="2"/>
      <c r="S43" s="2"/>
      <c r="T43" s="2"/>
      <c r="U43" s="56"/>
      <c r="V43" s="56"/>
      <c r="W43" s="109"/>
      <c r="X43" s="117"/>
      <c r="Y43" s="109"/>
      <c r="Z43" s="155">
        <f>Poor!Z43</f>
        <v>0.25</v>
      </c>
      <c r="AA43" s="146">
        <f t="shared" si="30"/>
        <v>0</v>
      </c>
      <c r="AB43" s="155">
        <f>Poor!AB43</f>
        <v>0.25</v>
      </c>
      <c r="AC43" s="146">
        <f t="shared" si="31"/>
        <v>0</v>
      </c>
      <c r="AD43" s="155">
        <f>Poor!AD43</f>
        <v>0.25</v>
      </c>
      <c r="AE43" s="146">
        <f t="shared" si="32"/>
        <v>0</v>
      </c>
      <c r="AF43" s="121">
        <f t="shared" si="24"/>
        <v>0.25</v>
      </c>
      <c r="AG43" s="146">
        <f t="shared" si="26"/>
        <v>0</v>
      </c>
      <c r="AH43" s="122">
        <f t="shared" si="27"/>
        <v>1</v>
      </c>
      <c r="AI43" s="111">
        <f t="shared" si="27"/>
        <v>0</v>
      </c>
      <c r="AJ43" s="147">
        <f t="shared" si="28"/>
        <v>0</v>
      </c>
      <c r="AK43" s="146">
        <f t="shared" si="2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5" ht="14" customHeight="1">
      <c r="A44" s="85" t="str">
        <f>IF(Poor!A44=0,"",Poor!A44)</f>
        <v/>
      </c>
      <c r="B44" s="103">
        <f>IF([1]Summ!$J1079="",0,[1]Summ!$J1079)</f>
        <v>0</v>
      </c>
      <c r="C44" s="103">
        <f>IF([1]Summ!$K1079="",0,[1]Summ!$K1079)</f>
        <v>0</v>
      </c>
      <c r="D44" s="38">
        <f t="shared" si="17"/>
        <v>0</v>
      </c>
      <c r="E44" s="75">
        <f>Middle!E44</f>
        <v>1</v>
      </c>
      <c r="F44" s="75">
        <f>Middle!F44</f>
        <v>1</v>
      </c>
      <c r="G44" s="22">
        <f t="shared" si="25"/>
        <v>1.1200000000000001</v>
      </c>
      <c r="H44" s="24">
        <f t="shared" si="18"/>
        <v>1</v>
      </c>
      <c r="I44" s="39">
        <f t="shared" si="19"/>
        <v>0</v>
      </c>
      <c r="J44" s="38">
        <f t="shared" si="20"/>
        <v>0</v>
      </c>
      <c r="K44" s="40">
        <f t="shared" si="21"/>
        <v>0</v>
      </c>
      <c r="L44" s="22">
        <f t="shared" si="22"/>
        <v>0</v>
      </c>
      <c r="M44" s="24">
        <f t="shared" si="23"/>
        <v>0</v>
      </c>
      <c r="N44" s="2"/>
      <c r="O44" s="2"/>
      <c r="P44" s="2"/>
      <c r="Q44" s="2"/>
      <c r="R44" s="2"/>
      <c r="S44" s="2"/>
      <c r="T44" s="2"/>
      <c r="U44" s="56"/>
      <c r="V44" s="56"/>
      <c r="W44" s="109"/>
      <c r="X44" s="117"/>
      <c r="Y44" s="109"/>
      <c r="Z44" s="155">
        <f>Poor!Z44</f>
        <v>0.25</v>
      </c>
      <c r="AA44" s="146">
        <f t="shared" si="30"/>
        <v>0</v>
      </c>
      <c r="AB44" s="155">
        <f>Poor!AB44</f>
        <v>0.25</v>
      </c>
      <c r="AC44" s="146">
        <f t="shared" si="31"/>
        <v>0</v>
      </c>
      <c r="AD44" s="155">
        <f>Poor!AD44</f>
        <v>0.25</v>
      </c>
      <c r="AE44" s="146">
        <f t="shared" si="32"/>
        <v>0</v>
      </c>
      <c r="AF44" s="121">
        <f t="shared" si="24"/>
        <v>0.25</v>
      </c>
      <c r="AG44" s="146">
        <f t="shared" si="26"/>
        <v>0</v>
      </c>
      <c r="AH44" s="122">
        <f t="shared" si="27"/>
        <v>1</v>
      </c>
      <c r="AI44" s="111">
        <f t="shared" si="27"/>
        <v>0</v>
      </c>
      <c r="AJ44" s="147">
        <f t="shared" si="28"/>
        <v>0</v>
      </c>
      <c r="AK44" s="146">
        <f t="shared" si="2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5" ht="14" customHeight="1">
      <c r="A45" s="85" t="str">
        <f>IF(Poor!A45=0,"",Poor!A45)</f>
        <v/>
      </c>
      <c r="B45" s="103">
        <f>IF([1]Summ!$J1080="",0,[1]Summ!$J1080)</f>
        <v>0</v>
      </c>
      <c r="C45" s="103">
        <f>IF([1]Summ!$K1080="",0,[1]Summ!$K1080)</f>
        <v>0</v>
      </c>
      <c r="D45" s="38">
        <f t="shared" si="17"/>
        <v>0</v>
      </c>
      <c r="E45" s="75">
        <f>Middle!E45</f>
        <v>1</v>
      </c>
      <c r="F45" s="75">
        <f>Middle!F45</f>
        <v>1</v>
      </c>
      <c r="G45" s="22">
        <f t="shared" si="25"/>
        <v>1.1200000000000001</v>
      </c>
      <c r="H45" s="24">
        <f t="shared" si="18"/>
        <v>1</v>
      </c>
      <c r="I45" s="39">
        <f t="shared" si="19"/>
        <v>0</v>
      </c>
      <c r="J45" s="38">
        <f t="shared" si="20"/>
        <v>0</v>
      </c>
      <c r="K45" s="40">
        <f t="shared" si="21"/>
        <v>0</v>
      </c>
      <c r="L45" s="22">
        <f t="shared" si="22"/>
        <v>0</v>
      </c>
      <c r="M45" s="24">
        <f t="shared" si="23"/>
        <v>0</v>
      </c>
      <c r="N45" s="2"/>
      <c r="O45" s="2"/>
      <c r="P45" s="2"/>
      <c r="Q45" s="2"/>
      <c r="R45" s="2"/>
      <c r="S45" s="2"/>
      <c r="T45" s="2"/>
      <c r="U45" s="56"/>
      <c r="V45" s="56"/>
      <c r="W45" s="109"/>
      <c r="X45" s="117"/>
      <c r="Y45" s="109"/>
      <c r="Z45" s="155">
        <f>Poor!Z45</f>
        <v>0.25</v>
      </c>
      <c r="AA45" s="146">
        <f t="shared" si="30"/>
        <v>0</v>
      </c>
      <c r="AB45" s="155">
        <f>Poor!AB45</f>
        <v>0.25</v>
      </c>
      <c r="AC45" s="146">
        <f t="shared" si="31"/>
        <v>0</v>
      </c>
      <c r="AD45" s="155">
        <f>Poor!AD45</f>
        <v>0.25</v>
      </c>
      <c r="AE45" s="146">
        <f t="shared" si="32"/>
        <v>0</v>
      </c>
      <c r="AF45" s="121">
        <f t="shared" si="24"/>
        <v>0.25</v>
      </c>
      <c r="AG45" s="146">
        <f t="shared" si="26"/>
        <v>0</v>
      </c>
      <c r="AH45" s="122">
        <f t="shared" si="27"/>
        <v>1</v>
      </c>
      <c r="AI45" s="111">
        <f t="shared" si="27"/>
        <v>0</v>
      </c>
      <c r="AJ45" s="147">
        <f t="shared" si="28"/>
        <v>0</v>
      </c>
      <c r="AK45" s="146">
        <f t="shared" si="2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5" ht="14" customHeight="1">
      <c r="A46" s="85" t="str">
        <f>IF(Poor!A46=0,"",Poor!A46)</f>
        <v/>
      </c>
      <c r="B46" s="103">
        <f>IF([1]Summ!$J1081="",0,[1]Summ!$J1081)</f>
        <v>0</v>
      </c>
      <c r="C46" s="103">
        <f>IF([1]Summ!$K1081="",0,[1]Summ!$K1081)</f>
        <v>0</v>
      </c>
      <c r="D46" s="38">
        <f t="shared" si="17"/>
        <v>0</v>
      </c>
      <c r="E46" s="75">
        <f>Middle!E46</f>
        <v>1</v>
      </c>
      <c r="F46" s="75">
        <f>Middle!F46</f>
        <v>1</v>
      </c>
      <c r="G46" s="22">
        <f t="shared" si="25"/>
        <v>1.1200000000000001</v>
      </c>
      <c r="H46" s="24">
        <f t="shared" si="18"/>
        <v>1</v>
      </c>
      <c r="I46" s="39">
        <f t="shared" si="19"/>
        <v>0</v>
      </c>
      <c r="J46" s="38">
        <f t="shared" si="20"/>
        <v>0</v>
      </c>
      <c r="K46" s="40">
        <f t="shared" si="21"/>
        <v>0</v>
      </c>
      <c r="L46" s="22">
        <f t="shared" si="22"/>
        <v>0</v>
      </c>
      <c r="M46" s="24">
        <f t="shared" si="23"/>
        <v>0</v>
      </c>
      <c r="N46" s="2"/>
      <c r="O46" s="2"/>
      <c r="P46" s="2"/>
      <c r="Q46" s="2"/>
      <c r="R46" s="2"/>
      <c r="S46" s="2"/>
      <c r="T46" s="2"/>
      <c r="U46" s="56"/>
      <c r="V46" s="56"/>
      <c r="W46" s="109"/>
      <c r="X46" s="117"/>
      <c r="Y46" s="109"/>
      <c r="Z46" s="155">
        <f>Poor!Z46</f>
        <v>0.25</v>
      </c>
      <c r="AA46" s="146">
        <f t="shared" si="30"/>
        <v>0</v>
      </c>
      <c r="AB46" s="155">
        <f>Poor!AB46</f>
        <v>0.25</v>
      </c>
      <c r="AC46" s="146">
        <f t="shared" si="31"/>
        <v>0</v>
      </c>
      <c r="AD46" s="155">
        <f>Poor!AD46</f>
        <v>0.25</v>
      </c>
      <c r="AE46" s="146">
        <f t="shared" si="32"/>
        <v>0</v>
      </c>
      <c r="AF46" s="121">
        <f t="shared" si="24"/>
        <v>0.25</v>
      </c>
      <c r="AG46" s="146">
        <f t="shared" si="26"/>
        <v>0</v>
      </c>
      <c r="AH46" s="122">
        <f t="shared" ref="AH46:AI51" si="33">SUM(Z46,AB46,AD46,AF46)</f>
        <v>1</v>
      </c>
      <c r="AI46" s="111">
        <f t="shared" si="33"/>
        <v>0</v>
      </c>
      <c r="AJ46" s="147">
        <f t="shared" si="28"/>
        <v>0</v>
      </c>
      <c r="AK46" s="146">
        <f t="shared" si="2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5" ht="14" customHeight="1">
      <c r="A47" s="85" t="str">
        <f>IF(Poor!A47=0,"",Poor!A47)</f>
        <v/>
      </c>
      <c r="B47" s="103">
        <f>IF([1]Summ!$J1082="",0,[1]Summ!$J1082)</f>
        <v>0</v>
      </c>
      <c r="C47" s="103">
        <f>IF([1]Summ!$K1082="",0,[1]Summ!$K1082)</f>
        <v>0</v>
      </c>
      <c r="D47" s="38">
        <f t="shared" si="17"/>
        <v>0</v>
      </c>
      <c r="E47" s="75">
        <f>Middle!E47</f>
        <v>1</v>
      </c>
      <c r="F47" s="75">
        <f>Middle!F47</f>
        <v>1</v>
      </c>
      <c r="G47" s="22">
        <f t="shared" si="25"/>
        <v>1.1200000000000001</v>
      </c>
      <c r="H47" s="24">
        <f t="shared" si="18"/>
        <v>1</v>
      </c>
      <c r="I47" s="39">
        <f t="shared" si="19"/>
        <v>0</v>
      </c>
      <c r="J47" s="38">
        <f t="shared" si="20"/>
        <v>0</v>
      </c>
      <c r="K47" s="40">
        <f t="shared" si="21"/>
        <v>0</v>
      </c>
      <c r="L47" s="22">
        <f t="shared" si="22"/>
        <v>0</v>
      </c>
      <c r="M47" s="24">
        <f t="shared" si="23"/>
        <v>0</v>
      </c>
      <c r="N47" s="2"/>
      <c r="O47" s="2"/>
      <c r="P47" s="2"/>
      <c r="Q47" s="2"/>
      <c r="R47" s="2"/>
      <c r="S47" s="2"/>
      <c r="T47" s="2"/>
      <c r="U47" s="56"/>
      <c r="V47" s="56"/>
      <c r="W47" s="109"/>
      <c r="X47" s="117"/>
      <c r="Y47" s="109"/>
      <c r="Z47" s="155">
        <f>Poor!Z47</f>
        <v>0.25</v>
      </c>
      <c r="AA47" s="146">
        <f t="shared" si="30"/>
        <v>0</v>
      </c>
      <c r="AB47" s="155">
        <f>Poor!AB47</f>
        <v>0.25</v>
      </c>
      <c r="AC47" s="146">
        <f t="shared" si="31"/>
        <v>0</v>
      </c>
      <c r="AD47" s="155">
        <f>Poor!AD47</f>
        <v>0.25</v>
      </c>
      <c r="AE47" s="146">
        <f t="shared" si="32"/>
        <v>0</v>
      </c>
      <c r="AF47" s="121">
        <f t="shared" si="24"/>
        <v>0.25</v>
      </c>
      <c r="AG47" s="146">
        <f t="shared" si="26"/>
        <v>0</v>
      </c>
      <c r="AH47" s="122">
        <f t="shared" si="33"/>
        <v>1</v>
      </c>
      <c r="AI47" s="111">
        <f t="shared" si="33"/>
        <v>0</v>
      </c>
      <c r="AJ47" s="147">
        <f t="shared" si="28"/>
        <v>0</v>
      </c>
      <c r="AK47" s="146">
        <f t="shared" si="2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5" ht="14" customHeight="1">
      <c r="A48" s="85" t="str">
        <f>IF(Poor!A48=0,"",Poor!A48)</f>
        <v/>
      </c>
      <c r="B48" s="103">
        <f>IF([1]Summ!$J1083="",0,[1]Summ!$J1083)</f>
        <v>0</v>
      </c>
      <c r="C48" s="103">
        <f>IF([1]Summ!$K1083="",0,[1]Summ!$K1083)</f>
        <v>0</v>
      </c>
      <c r="D48" s="38">
        <f t="shared" si="17"/>
        <v>0</v>
      </c>
      <c r="E48" s="75">
        <f>Middle!E48</f>
        <v>1</v>
      </c>
      <c r="F48" s="75">
        <f>Middle!F48</f>
        <v>1</v>
      </c>
      <c r="G48" s="22">
        <f t="shared" si="25"/>
        <v>1.1200000000000001</v>
      </c>
      <c r="H48" s="24">
        <f t="shared" si="18"/>
        <v>1</v>
      </c>
      <c r="I48" s="39">
        <f t="shared" si="19"/>
        <v>0</v>
      </c>
      <c r="J48" s="38">
        <f t="shared" si="20"/>
        <v>0</v>
      </c>
      <c r="K48" s="40">
        <f t="shared" si="21"/>
        <v>0</v>
      </c>
      <c r="L48" s="22">
        <f t="shared" si="22"/>
        <v>0</v>
      </c>
      <c r="M48" s="24">
        <f t="shared" si="23"/>
        <v>0</v>
      </c>
      <c r="N48" s="2"/>
      <c r="O48" s="2"/>
      <c r="P48" s="2"/>
      <c r="Q48" s="2"/>
      <c r="R48" s="2"/>
      <c r="S48" s="2"/>
      <c r="T48" s="2"/>
      <c r="U48" s="56"/>
      <c r="V48" s="56"/>
      <c r="W48" s="109"/>
      <c r="X48" s="117"/>
      <c r="Y48" s="109"/>
      <c r="Z48" s="155">
        <f>Poor!Z48</f>
        <v>0.25</v>
      </c>
      <c r="AA48" s="146">
        <f t="shared" si="30"/>
        <v>0</v>
      </c>
      <c r="AB48" s="155">
        <f>Poor!AB48</f>
        <v>0.25</v>
      </c>
      <c r="AC48" s="146">
        <f t="shared" si="31"/>
        <v>0</v>
      </c>
      <c r="AD48" s="155">
        <f>Poor!AD48</f>
        <v>0.25</v>
      </c>
      <c r="AE48" s="146">
        <f t="shared" si="32"/>
        <v>0</v>
      </c>
      <c r="AF48" s="121">
        <f t="shared" si="24"/>
        <v>0.25</v>
      </c>
      <c r="AG48" s="146">
        <f t="shared" si="26"/>
        <v>0</v>
      </c>
      <c r="AH48" s="122">
        <f t="shared" si="33"/>
        <v>1</v>
      </c>
      <c r="AI48" s="111">
        <f t="shared" si="33"/>
        <v>0</v>
      </c>
      <c r="AJ48" s="147">
        <f t="shared" si="28"/>
        <v>0</v>
      </c>
      <c r="AK48" s="146">
        <f t="shared" si="2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/>
      </c>
      <c r="B49" s="103">
        <f>IF([1]Summ!$J1084="",0,[1]Summ!$J1084)</f>
        <v>0</v>
      </c>
      <c r="C49" s="103">
        <f>IF([1]Summ!$K1084="",0,[1]Summ!$K1084)</f>
        <v>0</v>
      </c>
      <c r="D49" s="38">
        <f t="shared" si="17"/>
        <v>0</v>
      </c>
      <c r="E49" s="75">
        <f>Middle!E49</f>
        <v>1</v>
      </c>
      <c r="F49" s="75">
        <f>Middle!F49</f>
        <v>1</v>
      </c>
      <c r="G49" s="22">
        <f t="shared" si="25"/>
        <v>1.1200000000000001</v>
      </c>
      <c r="H49" s="24">
        <f t="shared" si="18"/>
        <v>1</v>
      </c>
      <c r="I49" s="39">
        <f t="shared" si="19"/>
        <v>0</v>
      </c>
      <c r="J49" s="38">
        <f t="shared" si="20"/>
        <v>0</v>
      </c>
      <c r="K49" s="40">
        <f t="shared" si="21"/>
        <v>0</v>
      </c>
      <c r="L49" s="22">
        <f t="shared" si="22"/>
        <v>0</v>
      </c>
      <c r="M49" s="24">
        <f t="shared" si="23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09"/>
      <c r="X49" s="117"/>
      <c r="Y49" s="109"/>
      <c r="Z49" s="155">
        <f>Poor!Z49</f>
        <v>0.25</v>
      </c>
      <c r="AA49" s="146">
        <f t="shared" si="30"/>
        <v>0</v>
      </c>
      <c r="AB49" s="155">
        <f>Poor!AB49</f>
        <v>0.25</v>
      </c>
      <c r="AC49" s="146">
        <f t="shared" si="31"/>
        <v>0</v>
      </c>
      <c r="AD49" s="155">
        <f>Poor!AD49</f>
        <v>0.25</v>
      </c>
      <c r="AE49" s="146">
        <f t="shared" si="32"/>
        <v>0</v>
      </c>
      <c r="AF49" s="121">
        <f t="shared" si="24"/>
        <v>0.25</v>
      </c>
      <c r="AG49" s="146">
        <f t="shared" si="26"/>
        <v>0</v>
      </c>
      <c r="AH49" s="122">
        <f t="shared" si="33"/>
        <v>1</v>
      </c>
      <c r="AI49" s="111">
        <f t="shared" si="33"/>
        <v>0</v>
      </c>
      <c r="AJ49" s="147">
        <f t="shared" si="28"/>
        <v>0</v>
      </c>
      <c r="AK49" s="146">
        <f t="shared" si="2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3">
        <f>IF([1]Summ!$J1085="",0,[1]Summ!$J1085)</f>
        <v>0</v>
      </c>
      <c r="C50" s="103">
        <f>IF([1]Summ!$K1085="",0,[1]Summ!$K1085)</f>
        <v>0</v>
      </c>
      <c r="D50" s="38">
        <f t="shared" si="17"/>
        <v>0</v>
      </c>
      <c r="E50" s="75">
        <f>Middle!E50</f>
        <v>1</v>
      </c>
      <c r="F50" s="75">
        <f>Middle!F50</f>
        <v>1</v>
      </c>
      <c r="G50" s="22">
        <f t="shared" si="25"/>
        <v>1.1200000000000001</v>
      </c>
      <c r="H50" s="24">
        <f t="shared" si="18"/>
        <v>1</v>
      </c>
      <c r="I50" s="39">
        <f t="shared" si="19"/>
        <v>0</v>
      </c>
      <c r="J50" s="38">
        <f t="shared" si="20"/>
        <v>0</v>
      </c>
      <c r="K50" s="40">
        <f t="shared" si="21"/>
        <v>0</v>
      </c>
      <c r="L50" s="22">
        <f t="shared" si="22"/>
        <v>0</v>
      </c>
      <c r="M50" s="24">
        <f t="shared" si="23"/>
        <v>0</v>
      </c>
      <c r="N50" s="2"/>
      <c r="O50" s="2"/>
      <c r="P50" s="2"/>
      <c r="Q50" s="2"/>
      <c r="R50" s="2"/>
      <c r="S50" s="2"/>
      <c r="T50" s="2"/>
      <c r="U50" s="56"/>
      <c r="V50" s="56"/>
      <c r="W50" s="109"/>
      <c r="X50" s="117"/>
      <c r="Y50" s="109"/>
      <c r="Z50" s="155">
        <f>Poor!Z50</f>
        <v>0.25</v>
      </c>
      <c r="AA50" s="146">
        <f t="shared" si="30"/>
        <v>0</v>
      </c>
      <c r="AB50" s="155">
        <f>Poor!AB50</f>
        <v>0.25</v>
      </c>
      <c r="AC50" s="146">
        <f t="shared" si="31"/>
        <v>0</v>
      </c>
      <c r="AD50" s="155">
        <f>Poor!AD50</f>
        <v>0.25</v>
      </c>
      <c r="AE50" s="146">
        <f t="shared" si="32"/>
        <v>0</v>
      </c>
      <c r="AF50" s="121">
        <f t="shared" si="24"/>
        <v>0.25</v>
      </c>
      <c r="AG50" s="146">
        <f t="shared" si="26"/>
        <v>0</v>
      </c>
      <c r="AH50" s="122">
        <f t="shared" si="33"/>
        <v>1</v>
      </c>
      <c r="AI50" s="111">
        <f t="shared" si="33"/>
        <v>0</v>
      </c>
      <c r="AJ50" s="147">
        <f t="shared" si="28"/>
        <v>0</v>
      </c>
      <c r="AK50" s="146">
        <f t="shared" si="2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3">
        <f>IF([1]Summ!$J1086="",0,[1]Summ!$J1086)</f>
        <v>0</v>
      </c>
      <c r="C51" s="103">
        <f>IF([1]Summ!$K1086="",0,[1]Summ!$K1086)</f>
        <v>0</v>
      </c>
      <c r="D51" s="38">
        <f t="shared" si="17"/>
        <v>0</v>
      </c>
      <c r="E51" s="75">
        <f>Middle!E51</f>
        <v>1</v>
      </c>
      <c r="F51" s="75">
        <f>Middle!F51</f>
        <v>1</v>
      </c>
      <c r="G51" s="22">
        <f t="shared" si="25"/>
        <v>1.1200000000000001</v>
      </c>
      <c r="H51" s="24">
        <f t="shared" si="18"/>
        <v>1</v>
      </c>
      <c r="I51" s="39">
        <f t="shared" si="19"/>
        <v>0</v>
      </c>
      <c r="J51" s="38">
        <f t="shared" si="20"/>
        <v>0</v>
      </c>
      <c r="K51" s="40">
        <f t="shared" si="21"/>
        <v>0</v>
      </c>
      <c r="L51" s="22">
        <f t="shared" si="22"/>
        <v>0</v>
      </c>
      <c r="M51" s="24">
        <f t="shared" si="23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09"/>
      <c r="X51" s="117"/>
      <c r="Y51" s="109"/>
      <c r="Z51" s="155">
        <f>Poor!Z51</f>
        <v>0.25</v>
      </c>
      <c r="AA51" s="148">
        <f t="shared" si="30"/>
        <v>0</v>
      </c>
      <c r="AB51" s="155">
        <f>Poor!AB51</f>
        <v>0.25</v>
      </c>
      <c r="AC51" s="148">
        <f t="shared" si="31"/>
        <v>0</v>
      </c>
      <c r="AD51" s="155">
        <f>Poor!AD51</f>
        <v>0.25</v>
      </c>
      <c r="AE51" s="148">
        <f t="shared" si="32"/>
        <v>0</v>
      </c>
      <c r="AF51" s="149">
        <f t="shared" si="24"/>
        <v>0.25</v>
      </c>
      <c r="AG51" s="148">
        <f t="shared" si="26"/>
        <v>0</v>
      </c>
      <c r="AH51" s="122">
        <f t="shared" si="33"/>
        <v>1</v>
      </c>
      <c r="AI51" s="111">
        <f t="shared" si="33"/>
        <v>0</v>
      </c>
      <c r="AJ51" s="150">
        <f t="shared" si="28"/>
        <v>0</v>
      </c>
      <c r="AK51" s="148">
        <f t="shared" si="2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39" t="s">
        <v>32</v>
      </c>
      <c r="B52" s="39">
        <f>SUM(B29:B51)</f>
        <v>340312.90322580643</v>
      </c>
      <c r="C52" s="39">
        <f>SUM(C29:C51)</f>
        <v>-2400</v>
      </c>
      <c r="D52" s="42">
        <f>SUM(D29:D51)</f>
        <v>337912.90322580643</v>
      </c>
      <c r="E52" s="32"/>
      <c r="F52" s="32"/>
      <c r="G52" s="32"/>
      <c r="H52" s="31"/>
      <c r="I52" s="39">
        <f>SUM(I29:I51)</f>
        <v>361579.32258064515</v>
      </c>
      <c r="J52" s="39">
        <f>SUM(J29:J51)</f>
        <v>363963.46243415301</v>
      </c>
      <c r="K52" s="40">
        <f>SUM(K29:K51)</f>
        <v>1</v>
      </c>
      <c r="L52" s="22">
        <f>SUM(L29:L51)</f>
        <v>1.0694373299714683</v>
      </c>
      <c r="M52" s="24">
        <f>SUM(M29:M51)</f>
        <v>1.0694965103707923</v>
      </c>
      <c r="N52" s="2"/>
      <c r="O52" s="2"/>
      <c r="P52" s="2"/>
      <c r="Q52" s="2"/>
      <c r="R52" s="2"/>
      <c r="S52" s="2"/>
      <c r="T52" s="2"/>
      <c r="U52" s="56"/>
      <c r="V52" s="56"/>
      <c r="W52" s="109"/>
      <c r="X52" s="151"/>
      <c r="Y52" s="109"/>
      <c r="Z52" s="136"/>
      <c r="AA52" s="152">
        <f>SUM(AA29:AA51)</f>
        <v>86762.096859455429</v>
      </c>
      <c r="AB52" s="136"/>
      <c r="AC52" s="152">
        <f>SUM(AC29:AC51)</f>
        <v>88247.938679679486</v>
      </c>
      <c r="AD52" s="136"/>
      <c r="AE52" s="152">
        <f>SUM(AE29:AE51)</f>
        <v>86632.542444453909</v>
      </c>
      <c r="AF52" s="136"/>
      <c r="AG52" s="152">
        <f>SUM(AG29:AG51)</f>
        <v>102320.8844505642</v>
      </c>
      <c r="AH52" s="136"/>
      <c r="AI52" s="152">
        <f>SUM(AI29:AI51)</f>
        <v>363963.46243415301</v>
      </c>
      <c r="AJ52" s="152">
        <f>SUM(AJ29:AJ51)</f>
        <v>175010.03553913493</v>
      </c>
      <c r="AK52" s="152">
        <f>SUM(AK29:AK51)</f>
        <v>188953.42689501811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3.5" customHeight="1">
      <c r="A53" s="78"/>
      <c r="B53" s="78"/>
      <c r="C53" s="78"/>
      <c r="D53" s="44"/>
      <c r="E53" s="14"/>
      <c r="F53" s="14"/>
      <c r="G53" s="14"/>
      <c r="H53" s="44"/>
      <c r="I53" s="14"/>
      <c r="J53" s="44"/>
      <c r="K53" s="45"/>
      <c r="L53" s="11"/>
      <c r="M53" s="10"/>
      <c r="N53" s="2"/>
      <c r="O53" s="2"/>
      <c r="P53" s="2"/>
      <c r="Q53" s="2"/>
      <c r="R53" s="2"/>
      <c r="S53" s="2"/>
      <c r="T53" s="2"/>
      <c r="U53" s="56"/>
      <c r="V53" s="56"/>
      <c r="W53" s="109"/>
      <c r="X53" s="117"/>
      <c r="Y53" s="109"/>
      <c r="Z53" s="142"/>
      <c r="AA53" s="153"/>
      <c r="AB53" s="142"/>
      <c r="AC53" s="153"/>
      <c r="AD53" s="142"/>
      <c r="AE53" s="153"/>
      <c r="AF53" s="142"/>
      <c r="AG53" s="153"/>
      <c r="AH53" s="142"/>
      <c r="AI53" s="153"/>
      <c r="AJ53" s="142"/>
      <c r="AK53" s="143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5.75" customHeight="1">
      <c r="A54" s="73" t="s">
        <v>52</v>
      </c>
      <c r="B54" s="39"/>
      <c r="C54" s="39"/>
      <c r="D54" s="38"/>
      <c r="E54" s="32"/>
      <c r="F54" s="32"/>
      <c r="G54" s="32"/>
      <c r="H54" s="31"/>
      <c r="I54" s="47"/>
      <c r="J54" s="48"/>
      <c r="K54" s="34" t="s">
        <v>34</v>
      </c>
      <c r="L54" s="2"/>
      <c r="M54" s="31"/>
      <c r="N54" s="2"/>
      <c r="O54" s="2"/>
      <c r="P54" s="2"/>
      <c r="Q54" s="2"/>
      <c r="R54" s="2"/>
      <c r="S54" s="2"/>
      <c r="T54" s="2"/>
      <c r="U54" s="56"/>
      <c r="V54" s="56"/>
      <c r="W54" s="109"/>
      <c r="X54" s="117"/>
      <c r="Y54" s="109"/>
      <c r="Z54" s="144"/>
      <c r="AA54" s="146"/>
      <c r="AB54" s="144"/>
      <c r="AC54" s="146"/>
      <c r="AD54" s="144"/>
      <c r="AE54" s="146"/>
      <c r="AF54" s="144"/>
      <c r="AG54" s="146"/>
      <c r="AH54" s="144"/>
      <c r="AI54" s="146"/>
      <c r="AJ54" s="144"/>
      <c r="AK54" s="145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9"/>
      <c r="B55" s="80" t="s">
        <v>7</v>
      </c>
      <c r="C55" s="39"/>
      <c r="D55" s="50"/>
      <c r="E55" s="19" t="s">
        <v>10</v>
      </c>
      <c r="F55" s="2" t="s">
        <v>28</v>
      </c>
      <c r="G55" s="2"/>
      <c r="H55" s="16" t="s">
        <v>12</v>
      </c>
      <c r="I55" s="19" t="s">
        <v>13</v>
      </c>
      <c r="J55" s="16" t="s">
        <v>14</v>
      </c>
      <c r="K55" s="37" t="s">
        <v>7</v>
      </c>
      <c r="L55" s="19" t="s">
        <v>15</v>
      </c>
      <c r="M55" s="16" t="s">
        <v>14</v>
      </c>
      <c r="N55" s="2"/>
      <c r="O55" s="2"/>
      <c r="P55" s="2"/>
      <c r="Q55" s="2"/>
      <c r="R55" s="2"/>
      <c r="S55" s="2"/>
      <c r="T55" s="2"/>
      <c r="U55" s="56"/>
      <c r="V55" s="56"/>
      <c r="W55" s="111"/>
      <c r="X55" s="117"/>
      <c r="Y55" s="109"/>
      <c r="Z55" s="144"/>
      <c r="AA55" s="146"/>
      <c r="AB55" s="144"/>
      <c r="AC55" s="146"/>
      <c r="AD55" s="144"/>
      <c r="AE55" s="146"/>
      <c r="AF55" s="144"/>
      <c r="AG55" s="146"/>
      <c r="AH55" s="144"/>
      <c r="AI55" s="146"/>
      <c r="AJ55" s="144"/>
      <c r="AK55" s="145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39" t="s">
        <v>30</v>
      </c>
      <c r="B56" s="80" t="s">
        <v>35</v>
      </c>
      <c r="C56" s="39"/>
      <c r="D56" s="38"/>
      <c r="E56" s="19" t="s">
        <v>18</v>
      </c>
      <c r="F56" s="2" t="s">
        <v>31</v>
      </c>
      <c r="G56" s="2"/>
      <c r="H56" s="16" t="s">
        <v>18</v>
      </c>
      <c r="I56" s="19" t="s">
        <v>35</v>
      </c>
      <c r="J56" s="16" t="s">
        <v>35</v>
      </c>
      <c r="K56" s="37" t="s">
        <v>35</v>
      </c>
      <c r="L56" s="19" t="s">
        <v>19</v>
      </c>
      <c r="M56" s="16" t="s">
        <v>35</v>
      </c>
      <c r="N56" s="2"/>
      <c r="O56" s="2"/>
      <c r="P56" s="2"/>
      <c r="Q56" s="2"/>
      <c r="R56" s="2"/>
      <c r="S56" s="2"/>
      <c r="T56" s="2"/>
      <c r="U56" s="56"/>
      <c r="V56" s="56"/>
      <c r="W56" s="109"/>
      <c r="X56" s="117"/>
      <c r="Y56" s="109"/>
      <c r="Z56" s="144"/>
      <c r="AA56" s="146"/>
      <c r="AB56" s="144"/>
      <c r="AC56" s="146"/>
      <c r="AD56" s="144"/>
      <c r="AE56" s="146"/>
      <c r="AF56" s="144"/>
      <c r="AG56" s="146"/>
      <c r="AH56" s="144"/>
      <c r="AI56" s="146"/>
      <c r="AJ56" s="144"/>
      <c r="AK56" s="145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109" t="s">
        <v>132</v>
      </c>
      <c r="B57" s="237">
        <f>[1]Summ!$J1031</f>
        <v>12690.969968712534</v>
      </c>
      <c r="C57" s="39"/>
      <c r="D57" s="38"/>
      <c r="E57" s="75">
        <f>Middle!E57</f>
        <v>1</v>
      </c>
      <c r="F57" s="75">
        <f>Middle!F57</f>
        <v>1.1399999999999999</v>
      </c>
      <c r="G57" s="22"/>
      <c r="H57" s="24">
        <f>(E57*F57)</f>
        <v>1.1399999999999999</v>
      </c>
      <c r="I57" s="39">
        <f>I106*I$70</f>
        <v>14467.705764332286</v>
      </c>
      <c r="J57" s="51">
        <f>J106*I$70</f>
        <v>14467.705764332286</v>
      </c>
      <c r="K57" s="40">
        <f t="shared" ref="K57:K62" si="34">B57/B$63</f>
        <v>3.7292062241588729E-2</v>
      </c>
      <c r="L57" s="22">
        <f t="shared" ref="L57:L62" si="35">(L106*G$29*F$9/F$7)/B$112</f>
        <v>4.2512950955411133E-2</v>
      </c>
      <c r="M57" s="24">
        <f t="shared" ref="M57:M62" si="36">J57/B$63</f>
        <v>4.251295095541114E-2</v>
      </c>
      <c r="N57" s="2"/>
      <c r="O57" s="2"/>
      <c r="P57" s="2"/>
      <c r="Q57" s="2"/>
      <c r="R57" s="2"/>
      <c r="S57" s="2"/>
      <c r="T57" s="2"/>
      <c r="U57" s="56"/>
      <c r="V57" s="56"/>
      <c r="W57" s="109"/>
      <c r="X57" s="117"/>
      <c r="Y57" s="109"/>
      <c r="Z57" s="155">
        <f>Poor!Z57</f>
        <v>0.25</v>
      </c>
      <c r="AA57" s="146">
        <f>$J57*Z57</f>
        <v>3616.9264410830715</v>
      </c>
      <c r="AB57" s="155">
        <f>Poor!AB57</f>
        <v>0.25</v>
      </c>
      <c r="AC57" s="146">
        <f>$J57*AB57</f>
        <v>3616.9264410830715</v>
      </c>
      <c r="AD57" s="155">
        <f>Poor!AD57</f>
        <v>0.25</v>
      </c>
      <c r="AE57" s="146">
        <f>$J57*AD57</f>
        <v>3616.9264410830715</v>
      </c>
      <c r="AF57" s="155">
        <f>Poor!AF57</f>
        <v>0.25</v>
      </c>
      <c r="AG57" s="146">
        <f>$J57*AF57</f>
        <v>3616.9264410830715</v>
      </c>
      <c r="AH57" s="154">
        <f>SUM(Z57,AB57,AD57,AF57)</f>
        <v>1</v>
      </c>
      <c r="AI57" s="146">
        <f>SUM(AA57,AC57,AE57,AG57)</f>
        <v>14467.705764332286</v>
      </c>
      <c r="AJ57" s="147">
        <f>(AA57+AC57)</f>
        <v>7233.852882166143</v>
      </c>
      <c r="AK57" s="146">
        <f>(AE57+AG57)</f>
        <v>7233.852882166143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3.5" customHeight="1">
      <c r="A58" s="109" t="s">
        <v>133</v>
      </c>
      <c r="B58" s="237">
        <f>[1]Summ!$J1032</f>
        <v>9736.6666666666679</v>
      </c>
      <c r="C58" s="39"/>
      <c r="D58" s="38"/>
      <c r="E58" s="75">
        <f>Middle!E58</f>
        <v>1</v>
      </c>
      <c r="F58" s="75">
        <f>Middle!F58</f>
        <v>1.1100000000000001</v>
      </c>
      <c r="G58" s="22"/>
      <c r="H58" s="24">
        <f>(E58*F58)</f>
        <v>1.1100000000000001</v>
      </c>
      <c r="I58" s="39">
        <f>I107*I$70</f>
        <v>10807.700000000003</v>
      </c>
      <c r="J58" s="51">
        <f>J107*I$70</f>
        <v>10807.700000000003</v>
      </c>
      <c r="K58" s="40">
        <f t="shared" si="34"/>
        <v>2.8610924165300124E-2</v>
      </c>
      <c r="L58" s="22">
        <f t="shared" si="35"/>
        <v>3.1758125823483141E-2</v>
      </c>
      <c r="M58" s="24">
        <f t="shared" si="36"/>
        <v>3.1758125823483141E-2</v>
      </c>
      <c r="O58" s="2"/>
      <c r="P58" s="2"/>
      <c r="Q58" s="2"/>
      <c r="R58" s="2"/>
      <c r="S58" s="2"/>
      <c r="T58" s="2"/>
      <c r="U58" s="56"/>
      <c r="V58" s="56"/>
      <c r="W58" s="109"/>
      <c r="X58" s="117"/>
      <c r="Y58" s="109"/>
      <c r="Z58" s="155">
        <f>Poor!Z58</f>
        <v>0.09</v>
      </c>
      <c r="AA58" s="146">
        <f>$H$58*$B$58*Z58</f>
        <v>972.69300000000021</v>
      </c>
      <c r="AB58" s="155">
        <f>Poor!AB58</f>
        <v>0.09</v>
      </c>
      <c r="AC58" s="146">
        <f>$H$58*$B$58*AB58</f>
        <v>972.69300000000021</v>
      </c>
      <c r="AD58" s="155">
        <f>Poor!AD58</f>
        <v>0.23</v>
      </c>
      <c r="AE58" s="146">
        <f>$H$58*$B$58*AD58</f>
        <v>2485.7710000000006</v>
      </c>
      <c r="AF58" s="155">
        <f>Poor!AF58</f>
        <v>0.59</v>
      </c>
      <c r="AG58" s="146">
        <f>$H$58*$B$58*AF58</f>
        <v>6376.5430000000015</v>
      </c>
      <c r="AH58" s="154">
        <f>SUM(Z58,AB58,AD58,AF58)</f>
        <v>1</v>
      </c>
      <c r="AI58" s="146">
        <f>SUM(AA58,AC58,AE58,AG58)</f>
        <v>10807.700000000003</v>
      </c>
      <c r="AJ58" s="147">
        <f>(AA58+AC58)</f>
        <v>1945.3860000000004</v>
      </c>
      <c r="AK58" s="146">
        <f>(AE58+AG58)</f>
        <v>8862.3140000000021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3.5" customHeight="1">
      <c r="A59" s="109" t="s">
        <v>134</v>
      </c>
      <c r="B59" s="237">
        <f>[1]Summ!$J1033</f>
        <v>17340</v>
      </c>
      <c r="C59" s="39"/>
      <c r="D59" s="38"/>
      <c r="E59" s="75">
        <f>Middle!E59</f>
        <v>1</v>
      </c>
      <c r="F59" s="75">
        <f>Middle!F59</f>
        <v>1.1100000000000001</v>
      </c>
      <c r="G59" s="22"/>
      <c r="H59" s="24">
        <f>(E59*F59)</f>
        <v>1.1100000000000001</v>
      </c>
      <c r="I59" s="39">
        <f t="shared" ref="I59:I60" si="37">I108*I$70</f>
        <v>0</v>
      </c>
      <c r="J59" s="51">
        <f t="shared" ref="J59:J60" si="38">J108*I$70</f>
        <v>19247.400000000005</v>
      </c>
      <c r="K59" s="40">
        <f t="shared" si="34"/>
        <v>5.0953107671308194E-2</v>
      </c>
      <c r="L59" s="22">
        <f t="shared" si="35"/>
        <v>5.6557949515152098E-2</v>
      </c>
      <c r="M59" s="24">
        <f t="shared" si="36"/>
        <v>5.6557949515152112E-2</v>
      </c>
      <c r="O59" s="2"/>
      <c r="P59" s="2"/>
      <c r="Q59" s="2"/>
      <c r="R59" s="2"/>
      <c r="S59" s="2"/>
      <c r="T59" s="2"/>
      <c r="U59" s="56"/>
      <c r="V59" s="56"/>
      <c r="W59" s="109"/>
      <c r="X59" s="117"/>
      <c r="Y59" s="109"/>
      <c r="Z59" s="155"/>
      <c r="AA59" s="146"/>
      <c r="AB59" s="155"/>
      <c r="AC59" s="146"/>
      <c r="AD59" s="155"/>
      <c r="AE59" s="146"/>
      <c r="AF59" s="155"/>
      <c r="AG59" s="146"/>
      <c r="AH59" s="154"/>
      <c r="AI59" s="146"/>
      <c r="AJ59" s="147"/>
      <c r="AK59" s="146"/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3.5" customHeight="1">
      <c r="A60" s="109" t="s">
        <v>135</v>
      </c>
      <c r="B60" s="237">
        <f>[1]Summ!$J1034</f>
        <v>50280</v>
      </c>
      <c r="C60" s="39"/>
      <c r="D60" s="38"/>
      <c r="E60" s="75">
        <f>Middle!E60</f>
        <v>1</v>
      </c>
      <c r="F60" s="75">
        <f>Middle!F60</f>
        <v>1.1100000000000001</v>
      </c>
      <c r="G60" s="22"/>
      <c r="H60" s="24">
        <f>(E60*F60)</f>
        <v>1.1100000000000001</v>
      </c>
      <c r="I60" s="39">
        <f t="shared" si="37"/>
        <v>0</v>
      </c>
      <c r="J60" s="51">
        <f t="shared" si="38"/>
        <v>55810.80000000001</v>
      </c>
      <c r="K60" s="40">
        <f t="shared" si="34"/>
        <v>0.14774638141368951</v>
      </c>
      <c r="L60" s="22">
        <f t="shared" si="35"/>
        <v>0.16399848336919534</v>
      </c>
      <c r="M60" s="24">
        <f t="shared" si="36"/>
        <v>0.16399848336919537</v>
      </c>
      <c r="O60" s="2"/>
      <c r="P60" s="2"/>
      <c r="Q60" s="2"/>
      <c r="R60" s="2"/>
      <c r="S60" s="2"/>
      <c r="T60" s="2"/>
      <c r="U60" s="56"/>
      <c r="V60" s="56"/>
      <c r="W60" s="109"/>
      <c r="X60" s="117"/>
      <c r="Y60" s="109"/>
      <c r="Z60" s="155"/>
      <c r="AA60" s="146"/>
      <c r="AB60" s="155"/>
      <c r="AC60" s="146"/>
      <c r="AD60" s="155"/>
      <c r="AE60" s="146"/>
      <c r="AF60" s="155"/>
      <c r="AG60" s="146"/>
      <c r="AH60" s="154"/>
      <c r="AI60" s="146"/>
      <c r="AJ60" s="147"/>
      <c r="AK60" s="146"/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1" t="s">
        <v>141</v>
      </c>
      <c r="B61" s="52">
        <f>B22*B70</f>
        <v>3065.5317679558011</v>
      </c>
      <c r="C61" s="39"/>
      <c r="D61" s="38"/>
      <c r="E61" s="32"/>
      <c r="F61" s="32"/>
      <c r="G61" s="32"/>
      <c r="H61" s="31"/>
      <c r="I61" s="39">
        <f>I110*I$70</f>
        <v>336303.91681631288</v>
      </c>
      <c r="J61" s="51">
        <f>J110*I$70</f>
        <v>3492.3415520581475</v>
      </c>
      <c r="K61" s="40">
        <f t="shared" si="34"/>
        <v>9.0079798294387375E-3</v>
      </c>
      <c r="L61" s="22">
        <f t="shared" si="35"/>
        <v>9.6088478444195935E-3</v>
      </c>
      <c r="M61" s="24">
        <f t="shared" si="36"/>
        <v>1.0262148507900944E-2</v>
      </c>
      <c r="O61" s="2"/>
      <c r="P61" s="2"/>
      <c r="Q61" s="2"/>
      <c r="R61" s="2"/>
      <c r="S61" s="2"/>
      <c r="T61" s="2"/>
      <c r="U61" s="56"/>
      <c r="V61" s="56"/>
      <c r="W61" s="109"/>
      <c r="X61" s="117"/>
      <c r="Y61" s="109"/>
      <c r="Z61" s="155"/>
      <c r="AA61" s="146">
        <f>AA22*$I$70/4</f>
        <v>0</v>
      </c>
      <c r="AB61" s="155"/>
      <c r="AC61" s="146">
        <f>AC22*$I$70/4</f>
        <v>0</v>
      </c>
      <c r="AD61" s="155"/>
      <c r="AE61" s="146">
        <f>AE22*$I$70/4</f>
        <v>0</v>
      </c>
      <c r="AF61" s="155"/>
      <c r="AG61" s="146">
        <f>AG22*$I$70/4</f>
        <v>524.84210504050179</v>
      </c>
      <c r="AH61" s="154"/>
      <c r="AI61" s="146">
        <f>SUM(AA61,AC61,AE61,AG61)</f>
        <v>524.84210504050179</v>
      </c>
      <c r="AJ61" s="147">
        <f>(AA61+AC61)</f>
        <v>0</v>
      </c>
      <c r="AK61" s="146">
        <f>(AE61+AG61)</f>
        <v>524.84210504050179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1" t="s">
        <v>56</v>
      </c>
      <c r="B62" s="52">
        <f>B63-B57-B58-B59-B60-B61</f>
        <v>247199.73482247139</v>
      </c>
      <c r="C62" s="39"/>
      <c r="D62" s="38"/>
      <c r="E62" s="32"/>
      <c r="F62" s="32"/>
      <c r="G62" s="32"/>
      <c r="H62" s="31"/>
      <c r="I62" s="47"/>
      <c r="J62" s="51">
        <f>J111*I$70</f>
        <v>260137.51511776261</v>
      </c>
      <c r="K62" s="40">
        <f t="shared" si="34"/>
        <v>0.72638954467867467</v>
      </c>
      <c r="L62" s="22">
        <f t="shared" si="35"/>
        <v>0.76500097246380705</v>
      </c>
      <c r="M62" s="24">
        <f t="shared" si="36"/>
        <v>0.76440685219964943</v>
      </c>
      <c r="O62" s="2"/>
      <c r="P62" s="2"/>
      <c r="Q62" s="2"/>
      <c r="R62" s="2"/>
      <c r="S62" s="2"/>
      <c r="T62" s="2"/>
      <c r="U62" s="56"/>
      <c r="V62" s="56"/>
      <c r="W62" s="109"/>
      <c r="X62" s="156"/>
      <c r="Y62" s="160" t="s">
        <v>105</v>
      </c>
      <c r="Z62" s="157"/>
      <c r="AA62" s="148">
        <f>AA66-AA61</f>
        <v>83145.170418372363</v>
      </c>
      <c r="AB62" s="157"/>
      <c r="AC62" s="148">
        <f>AA62+AC52-SUM(AC57,AC61)</f>
        <v>167776.18265696877</v>
      </c>
      <c r="AD62" s="157"/>
      <c r="AE62" s="148">
        <f>AC62+AE52-SUM(AE57,AE61)</f>
        <v>250791.79866033961</v>
      </c>
      <c r="AF62" s="157"/>
      <c r="AG62" s="148">
        <f>IF(SUM(AG6:AG21)+((AG52-AG57-$J$62)*4/I$70)&lt;1,0,AG52-AG57-$J$62-(1-SUM(AG6:AG21))*I$70/4)</f>
        <v>0</v>
      </c>
      <c r="AH62" s="133"/>
      <c r="AI62" s="148">
        <f>AI63-SUM(AI57,AI61)</f>
        <v>348970.91456478031</v>
      </c>
      <c r="AJ62" s="150">
        <f>AJ63-SUM(AJ57,AJ61)</f>
        <v>167776.1826569688</v>
      </c>
      <c r="AK62" s="148">
        <f>AJ62+AK63-SUM(AK57,AK61)</f>
        <v>348970.91456478025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 thickBot="1">
      <c r="A63" s="1" t="s">
        <v>32</v>
      </c>
      <c r="B63" s="52">
        <f>B52</f>
        <v>340312.90322580643</v>
      </c>
      <c r="C63" s="39"/>
      <c r="D63" s="38"/>
      <c r="E63" s="32"/>
      <c r="F63" s="32"/>
      <c r="G63" s="32"/>
      <c r="H63" s="31"/>
      <c r="I63" s="39">
        <f>I112*I$70</f>
        <v>361579.32258064515</v>
      </c>
      <c r="J63" s="51">
        <f>J112*I$70</f>
        <v>363963.46243415301</v>
      </c>
      <c r="K63" s="40">
        <f>SUM(K57:K62)</f>
        <v>1</v>
      </c>
      <c r="L63" s="22">
        <f>SUM(L57:L62)</f>
        <v>1.0694373299714683</v>
      </c>
      <c r="M63" s="24">
        <f>SUM(M57:M62)</f>
        <v>1.0694965103707923</v>
      </c>
      <c r="O63" s="2"/>
      <c r="P63" s="2"/>
      <c r="Q63" s="2"/>
      <c r="R63" s="2"/>
      <c r="S63" s="2"/>
      <c r="T63" s="2"/>
      <c r="U63" s="56"/>
      <c r="V63" s="56"/>
      <c r="W63" s="109"/>
      <c r="X63" s="190"/>
      <c r="Y63" s="190"/>
      <c r="Z63" s="136"/>
      <c r="AA63" s="153">
        <f>AA52</f>
        <v>86762.096859455429</v>
      </c>
      <c r="AB63" s="136"/>
      <c r="AC63" s="152">
        <f>AC52</f>
        <v>88247.938679679486</v>
      </c>
      <c r="AD63" s="136"/>
      <c r="AE63" s="152">
        <f>AE52</f>
        <v>86632.542444453909</v>
      </c>
      <c r="AF63" s="136"/>
      <c r="AG63" s="152">
        <f>AG52</f>
        <v>102320.8844505642</v>
      </c>
      <c r="AH63" s="136"/>
      <c r="AI63" s="152">
        <f>SUM(AA63,AC63,AE63,AG63)</f>
        <v>363963.46243415307</v>
      </c>
      <c r="AJ63" s="153">
        <f>SUM(AA63,AC63)</f>
        <v>175010.03553913493</v>
      </c>
      <c r="AK63" s="153">
        <f>SUM(AE63,AG63)</f>
        <v>188953.42689501811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 thickBot="1">
      <c r="A64" s="98" t="s">
        <v>37</v>
      </c>
      <c r="B64" s="81"/>
      <c r="C64" s="39"/>
      <c r="D64" s="38"/>
      <c r="E64" s="32"/>
      <c r="F64" s="32"/>
      <c r="G64" s="32"/>
      <c r="H64" s="31"/>
      <c r="I64" s="39">
        <f>I113*I$70</f>
        <v>75058.199999999983</v>
      </c>
      <c r="J64" s="99">
        <f>J113*I$70</f>
        <v>0</v>
      </c>
      <c r="K64" s="40"/>
      <c r="L64" s="22">
        <f>-(L113*G$29*F$9/F$7)/B$112</f>
        <v>0</v>
      </c>
      <c r="M64" s="24">
        <f>-J64/B$63</f>
        <v>0</v>
      </c>
      <c r="O64" s="2"/>
      <c r="P64" s="2"/>
      <c r="Q64" s="2"/>
      <c r="R64" s="2"/>
      <c r="S64" s="2"/>
      <c r="T64" s="2"/>
      <c r="U64" s="56"/>
      <c r="V64" s="56"/>
      <c r="W64" s="109"/>
      <c r="X64" s="109"/>
      <c r="Y64" s="160" t="s">
        <v>103</v>
      </c>
      <c r="Z64" s="158"/>
      <c r="AA64" s="110">
        <f>AA23*$I$70/4</f>
        <v>0</v>
      </c>
      <c r="AB64" s="111"/>
      <c r="AC64" s="110">
        <f>AC23*$I$70/4</f>
        <v>0</v>
      </c>
      <c r="AD64" s="111"/>
      <c r="AE64" s="110">
        <f>AE23*$I$70/4</f>
        <v>0</v>
      </c>
      <c r="AF64" s="111"/>
      <c r="AG64" s="110">
        <f>AG23*$I$70/4</f>
        <v>0</v>
      </c>
      <c r="AH64" s="109"/>
      <c r="AI64" s="153">
        <f>SUM(AA64,AC64,AE64,AG64)</f>
        <v>0</v>
      </c>
      <c r="AJ64" s="152">
        <f>SUM(AA64,AC64)</f>
        <v>0</v>
      </c>
      <c r="AK64" s="159">
        <f>SUM(AE64,AG64)</f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82" t="s">
        <v>38</v>
      </c>
      <c r="B65" s="39"/>
      <c r="C65" s="39"/>
      <c r="D65" s="38"/>
      <c r="E65" s="32"/>
      <c r="F65" s="32"/>
      <c r="G65" s="32"/>
      <c r="H65" s="31"/>
      <c r="I65" s="47"/>
      <c r="J65" s="48"/>
      <c r="K65" s="32"/>
      <c r="L65" s="32"/>
      <c r="M65" s="48"/>
      <c r="N65" s="2"/>
      <c r="O65" s="2"/>
      <c r="P65" s="2"/>
      <c r="Q65" s="2"/>
      <c r="R65" s="2"/>
      <c r="S65" s="2"/>
      <c r="T65" s="2"/>
      <c r="U65" s="56"/>
      <c r="V65" s="56"/>
      <c r="W65" s="109"/>
      <c r="X65" s="109"/>
      <c r="Y65" s="160" t="s">
        <v>104</v>
      </c>
      <c r="Z65" s="109"/>
      <c r="AA65" s="111">
        <f>IF(SUM(AG6:AG21)+((AG52-AG57-$J$62)*4/I$70)&lt;1,0,AG52-AG57-$J$62-(1-SUM(AG6:AG21))*I$70/4)</f>
        <v>0</v>
      </c>
      <c r="AB65" s="111"/>
      <c r="AC65" s="111">
        <f>IF(AA62&lt;0,0,AA62)</f>
        <v>83145.170418372363</v>
      </c>
      <c r="AD65" s="111"/>
      <c r="AE65" s="111">
        <f>AC62</f>
        <v>167776.18265696877</v>
      </c>
      <c r="AF65" s="111"/>
      <c r="AG65" s="111">
        <f>AE62</f>
        <v>250791.79866033961</v>
      </c>
      <c r="AH65" s="109"/>
      <c r="AI65" s="145"/>
      <c r="AJ65" s="109"/>
      <c r="AK65" s="145"/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4" customHeight="1">
      <c r="A66" s="39" t="s">
        <v>39</v>
      </c>
      <c r="B66" s="104" t="str">
        <f>[1]Summ!$J1037</f>
        <v>maize</v>
      </c>
      <c r="C66" s="39"/>
      <c r="D66" s="38"/>
      <c r="E66" s="32"/>
      <c r="F66" s="32"/>
      <c r="G66" s="32"/>
      <c r="H66" s="31"/>
      <c r="I66" s="47"/>
      <c r="J66" s="48"/>
      <c r="K66" s="32"/>
      <c r="L66" s="32"/>
      <c r="M66" s="48"/>
      <c r="N66" s="32"/>
      <c r="O66" s="2"/>
      <c r="P66" s="2"/>
      <c r="Q66" s="2"/>
      <c r="R66" s="2"/>
      <c r="S66" s="2"/>
      <c r="T66" s="2"/>
      <c r="U66" s="56"/>
      <c r="V66" s="56"/>
      <c r="W66" s="109"/>
      <c r="X66" s="109"/>
      <c r="Y66" s="160" t="s">
        <v>64</v>
      </c>
      <c r="Z66" s="109"/>
      <c r="AA66" s="111">
        <f>AA52-AA57+IF(SUM(AG6:AG21)+((AG52-AG57-$J$62)*4/I$70)&lt;1,0,AG52-AG57-$J$62-(1-SUM(AG6:AG21))*I$70/4)</f>
        <v>83145.170418372363</v>
      </c>
      <c r="AB66" s="111"/>
      <c r="AC66" s="111">
        <f>AA66-AA61+AC52-AC57</f>
        <v>167776.18265696877</v>
      </c>
      <c r="AD66" s="111"/>
      <c r="AE66" s="111">
        <f>AC66-AC61+AE52-AE57</f>
        <v>250791.79866033961</v>
      </c>
      <c r="AF66" s="111"/>
      <c r="AG66" s="111">
        <f>AE66-AE61+AG52-AG57</f>
        <v>349495.75666982075</v>
      </c>
      <c r="AH66" s="109"/>
      <c r="AI66" s="145"/>
      <c r="AJ66" s="109"/>
      <c r="AK66" s="145"/>
      <c r="AS66" s="25"/>
      <c r="AT66" s="25"/>
      <c r="AU66" s="25"/>
      <c r="AV66" s="25"/>
      <c r="AW66" s="25"/>
      <c r="AX66" s="25"/>
      <c r="AZ66" s="25"/>
      <c r="BA66" s="25"/>
      <c r="BB66" s="25"/>
      <c r="BC66" s="25"/>
      <c r="BD66" s="25"/>
      <c r="BE66" s="25"/>
      <c r="BI66" s="25"/>
      <c r="BJ66" s="25"/>
      <c r="BK66" s="25"/>
      <c r="BL66" s="25"/>
      <c r="BM66" s="25"/>
      <c r="BN66" s="25"/>
      <c r="BP66" s="25"/>
      <c r="BQ66" s="25"/>
      <c r="BR66" s="25"/>
      <c r="BS66" s="25"/>
      <c r="BT66" s="25"/>
      <c r="BU66" s="25"/>
      <c r="BX66" s="25"/>
      <c r="BY66" s="25"/>
      <c r="BZ66" s="25"/>
      <c r="CA66" s="25"/>
      <c r="CB66" s="25"/>
      <c r="CC66" s="25"/>
      <c r="CE66" s="25"/>
      <c r="CF66" s="25"/>
      <c r="CG66" s="25"/>
      <c r="CH66" s="25"/>
      <c r="CI66" s="25"/>
      <c r="CJ66" s="25"/>
    </row>
    <row r="67" spans="1:88" ht="14" customHeight="1">
      <c r="A67" s="39" t="s">
        <v>40</v>
      </c>
      <c r="B67" s="104">
        <f>[1]Summ!$J1038</f>
        <v>0.58061985920496251</v>
      </c>
      <c r="C67" s="39"/>
      <c r="D67" s="38"/>
      <c r="E67" s="32"/>
      <c r="F67" s="32"/>
      <c r="G67" s="32"/>
      <c r="H67" s="31"/>
      <c r="I67" s="47"/>
      <c r="J67" s="48"/>
      <c r="K67" s="32"/>
      <c r="L67" s="32"/>
      <c r="M67" s="48"/>
      <c r="N67" s="32"/>
      <c r="O67" s="2"/>
      <c r="P67" s="2"/>
      <c r="Q67" s="2"/>
      <c r="R67" s="2"/>
      <c r="S67" s="2"/>
      <c r="T67" s="2"/>
      <c r="U67" s="56"/>
      <c r="V67" s="56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45"/>
      <c r="AJ67" s="109"/>
      <c r="AK67" s="145"/>
      <c r="AS67" s="25"/>
      <c r="AT67" s="25"/>
      <c r="AU67" s="25"/>
      <c r="AV67" s="25"/>
      <c r="AW67" s="25"/>
      <c r="AX67" s="25"/>
      <c r="AZ67" s="25"/>
      <c r="BA67" s="25"/>
      <c r="BB67" s="25"/>
      <c r="BC67" s="25"/>
      <c r="BD67" s="25"/>
      <c r="BE67" s="25"/>
      <c r="BI67" s="25"/>
      <c r="BJ67" s="25"/>
      <c r="BK67" s="25"/>
      <c r="BL67" s="25"/>
      <c r="BM67" s="25"/>
      <c r="BN67" s="25"/>
      <c r="BP67" s="25"/>
      <c r="BQ67" s="25"/>
      <c r="BR67" s="25"/>
      <c r="BS67" s="25"/>
      <c r="BT67" s="25"/>
      <c r="BU67" s="25"/>
      <c r="BX67" s="25"/>
      <c r="BY67" s="25"/>
      <c r="BZ67" s="25"/>
      <c r="CA67" s="25"/>
      <c r="CB67" s="25"/>
      <c r="CC67" s="25"/>
      <c r="CE67" s="25"/>
      <c r="CF67" s="25"/>
      <c r="CG67" s="25"/>
      <c r="CH67" s="25"/>
      <c r="CI67" s="25"/>
      <c r="CJ67" s="25"/>
    </row>
    <row r="68" spans="1:88" ht="14" customHeight="1">
      <c r="A68" s="39" t="s">
        <v>41</v>
      </c>
      <c r="B68" s="234">
        <f>[1]Summ!$J1039</f>
        <v>5</v>
      </c>
      <c r="C68" s="39"/>
      <c r="D68" s="38"/>
      <c r="E68" s="32"/>
      <c r="F68" s="32"/>
      <c r="G68" s="32"/>
      <c r="H68" s="31"/>
      <c r="I68" s="47"/>
      <c r="J68" s="48"/>
      <c r="K68" s="32"/>
      <c r="L68" s="32"/>
      <c r="M68" s="48"/>
      <c r="N68" s="32"/>
      <c r="O68" s="2"/>
      <c r="P68" s="2"/>
      <c r="Q68" s="2"/>
      <c r="R68" s="2"/>
      <c r="S68" s="2"/>
      <c r="T68" s="2"/>
      <c r="U68" s="56"/>
      <c r="V68" s="56"/>
      <c r="W68" s="109"/>
      <c r="X68" s="109"/>
      <c r="Y68" s="109"/>
      <c r="Z68" s="142" t="s">
        <v>65</v>
      </c>
      <c r="AA68" s="158"/>
      <c r="AB68" s="158"/>
      <c r="AC68" s="158"/>
      <c r="AD68" s="158"/>
      <c r="AE68" s="158"/>
      <c r="AF68" s="158"/>
      <c r="AG68" s="143"/>
      <c r="AH68" s="113" t="s">
        <v>66</v>
      </c>
      <c r="AI68" s="145"/>
      <c r="AJ68" s="109"/>
      <c r="AK68" s="145"/>
      <c r="AS68" s="25"/>
      <c r="AT68" s="25"/>
      <c r="AU68" s="25"/>
      <c r="AV68" s="25"/>
      <c r="AW68" s="25"/>
      <c r="AX68" s="25"/>
      <c r="AZ68" s="25"/>
      <c r="BA68" s="25"/>
      <c r="BB68" s="25"/>
      <c r="BC68" s="25"/>
      <c r="BD68" s="25"/>
      <c r="BE68" s="25"/>
      <c r="BI68" s="25"/>
      <c r="BJ68" s="25"/>
      <c r="BK68" s="25"/>
      <c r="BL68" s="25"/>
      <c r="BM68" s="25"/>
      <c r="BN68" s="25"/>
      <c r="BP68" s="25"/>
      <c r="BQ68" s="25"/>
      <c r="BR68" s="25"/>
      <c r="BS68" s="25"/>
      <c r="BT68" s="25"/>
      <c r="BU68" s="25"/>
      <c r="BX68" s="25"/>
      <c r="BY68" s="25"/>
      <c r="BZ68" s="25"/>
      <c r="CA68" s="25"/>
      <c r="CB68" s="25"/>
      <c r="CC68" s="25"/>
      <c r="CE68" s="25"/>
      <c r="CF68" s="25"/>
      <c r="CG68" s="25"/>
      <c r="CH68" s="25"/>
      <c r="CI68" s="25"/>
      <c r="CJ68" s="25"/>
    </row>
    <row r="69" spans="1:88" ht="14" customHeight="1">
      <c r="A69" s="39" t="s">
        <v>42</v>
      </c>
      <c r="B69" s="104">
        <f>[1]Summ!$J1040</f>
        <v>5.375</v>
      </c>
      <c r="C69" s="39"/>
      <c r="D69" s="38"/>
      <c r="E69" s="32"/>
      <c r="F69" s="32"/>
      <c r="G69" s="32"/>
      <c r="H69" s="31"/>
      <c r="I69" s="47"/>
      <c r="J69" s="48"/>
      <c r="K69" s="32"/>
      <c r="L69" s="32"/>
      <c r="M69" s="48"/>
      <c r="N69" s="32"/>
      <c r="O69" s="2"/>
      <c r="P69" s="2"/>
      <c r="Q69" s="2"/>
      <c r="R69" s="2"/>
      <c r="S69" s="2"/>
      <c r="T69" s="2"/>
      <c r="U69" s="56"/>
      <c r="V69" s="56"/>
      <c r="X69" s="109"/>
      <c r="Y69" s="160" t="s">
        <v>67</v>
      </c>
      <c r="Z69" s="161">
        <f>IF($AH$69=0,0,AA69/$AH$69)</f>
        <v>1</v>
      </c>
      <c r="AA69" s="194">
        <f>Poor!AA69</f>
        <v>6.0200000000000005</v>
      </c>
      <c r="AB69" s="161">
        <f>IF($AH$69=0,0,AC69/$AH$69)</f>
        <v>1</v>
      </c>
      <c r="AC69" s="194">
        <f>Poor!AC69</f>
        <v>6.0200000000000005</v>
      </c>
      <c r="AD69" s="161">
        <f>IF($AH$69=0,0,AE69/$AH$69)</f>
        <v>1</v>
      </c>
      <c r="AE69" s="194">
        <f>Poor!AE69</f>
        <v>6.0200000000000005</v>
      </c>
      <c r="AF69" s="161">
        <f>IF($AH$69=0,0,AG69/$AH$69)</f>
        <v>1</v>
      </c>
      <c r="AG69" s="194">
        <f>Poor!AG69</f>
        <v>6.0200000000000005</v>
      </c>
      <c r="AH69" s="163">
        <f>IF(PRODUCT(AA69,AC69,AE69,AG69)=0,0,SUM(AA69,AC69,AE69,AG69)/4)</f>
        <v>6.0200000000000005</v>
      </c>
      <c r="AI69" s="145"/>
      <c r="AJ69" s="109"/>
      <c r="AK69" s="145"/>
      <c r="AS69" s="25"/>
      <c r="AT69" s="25"/>
      <c r="AU69" s="25"/>
      <c r="AV69" s="25"/>
      <c r="AW69" s="25"/>
      <c r="AX69" s="25"/>
      <c r="AZ69" s="25"/>
      <c r="BA69" s="25"/>
      <c r="BB69" s="25"/>
      <c r="BC69" s="25"/>
      <c r="BD69" s="25"/>
      <c r="BE69" s="25"/>
      <c r="BI69" s="25"/>
      <c r="BJ69" s="25"/>
      <c r="BK69" s="25"/>
      <c r="BL69" s="25"/>
      <c r="BM69" s="25"/>
      <c r="BN69" s="25"/>
      <c r="BP69" s="25"/>
      <c r="BQ69" s="25"/>
      <c r="BR69" s="25"/>
      <c r="BS69" s="25"/>
      <c r="BT69" s="25"/>
      <c r="BU69" s="25"/>
      <c r="BX69" s="25"/>
      <c r="BY69" s="25"/>
      <c r="BZ69" s="25"/>
      <c r="CA69" s="25"/>
      <c r="CB69" s="25"/>
      <c r="CC69" s="25"/>
      <c r="CE69" s="25"/>
      <c r="CF69" s="25"/>
      <c r="CG69" s="25"/>
      <c r="CH69" s="25"/>
      <c r="CI69" s="25"/>
      <c r="CJ69" s="25"/>
    </row>
    <row r="70" spans="1:88" ht="14" customHeight="1">
      <c r="A70" s="39" t="s">
        <v>43</v>
      </c>
      <c r="B70" s="39">
        <f>365*B67*B68*B69</f>
        <v>5695.5179313886792</v>
      </c>
      <c r="C70" s="39"/>
      <c r="D70" s="38"/>
      <c r="E70" s="32"/>
      <c r="F70" s="32"/>
      <c r="G70" s="32"/>
      <c r="H70" s="24">
        <f>G$29*F$9/F$7</f>
        <v>1.1200000000000001</v>
      </c>
      <c r="I70" s="39">
        <f xml:space="preserve"> B70*H70</f>
        <v>6378.9800831553212</v>
      </c>
      <c r="J70" s="48"/>
      <c r="K70" s="32"/>
      <c r="L70" s="32"/>
      <c r="M70" s="48"/>
      <c r="N70" s="32"/>
      <c r="O70" s="2"/>
      <c r="P70" s="2"/>
      <c r="Q70" s="2"/>
      <c r="R70" s="2"/>
      <c r="S70" s="2"/>
      <c r="T70" s="2"/>
      <c r="U70" s="56"/>
      <c r="V70" s="56"/>
      <c r="X70" s="109"/>
      <c r="Y70" s="160" t="s">
        <v>131</v>
      </c>
      <c r="Z70" s="109"/>
      <c r="AA70" s="164">
        <f>$I$70*Z69/4</f>
        <v>1594.7450207888303</v>
      </c>
      <c r="AB70" s="111"/>
      <c r="AC70" s="164">
        <f>$I$70*AB69/4</f>
        <v>1594.7450207888303</v>
      </c>
      <c r="AD70" s="111"/>
      <c r="AE70" s="164">
        <f>$I$70*AD69/4</f>
        <v>1594.7450207888303</v>
      </c>
      <c r="AF70" s="111"/>
      <c r="AG70" s="164">
        <f>$I$70*AF69/4</f>
        <v>1594.7450207888303</v>
      </c>
      <c r="AH70" s="164">
        <f>SUM(AA70,AC70,AE70,AG70)</f>
        <v>6378.9800831553212</v>
      </c>
      <c r="AI70" s="145"/>
      <c r="AJ70" s="109"/>
      <c r="AK70" s="145"/>
      <c r="AS70" s="25"/>
      <c r="AT70" s="25"/>
      <c r="AU70" s="25"/>
      <c r="AV70" s="25"/>
      <c r="AW70" s="25"/>
      <c r="AX70" s="25"/>
      <c r="AZ70" s="25"/>
      <c r="BA70" s="25"/>
      <c r="BB70" s="25"/>
      <c r="BC70" s="25"/>
      <c r="BD70" s="25"/>
      <c r="BE70" s="25"/>
      <c r="BI70" s="25"/>
      <c r="BJ70" s="25"/>
      <c r="BK70" s="25"/>
      <c r="BL70" s="25"/>
      <c r="BM70" s="25"/>
      <c r="BN70" s="25"/>
      <c r="BP70" s="25"/>
      <c r="BQ70" s="25"/>
      <c r="BR70" s="25"/>
      <c r="BS70" s="25"/>
      <c r="BT70" s="25"/>
      <c r="BU70" s="25"/>
      <c r="BX70" s="25"/>
      <c r="BY70" s="25"/>
      <c r="BZ70" s="25"/>
      <c r="CA70" s="25"/>
      <c r="CB70" s="25"/>
      <c r="CC70" s="25"/>
      <c r="CE70" s="25"/>
      <c r="CF70" s="25"/>
      <c r="CG70" s="25"/>
      <c r="CH70" s="25"/>
      <c r="CI70" s="25"/>
      <c r="CJ70" s="25"/>
    </row>
    <row r="71" spans="1:88" ht="14" customHeight="1" thickBot="1">
      <c r="A71" s="46" t="s">
        <v>142</v>
      </c>
      <c r="B71" s="246">
        <f>B57+((1-D21)*B70)</f>
        <v>16041.135719949451</v>
      </c>
      <c r="C71" s="46"/>
      <c r="D71" s="38"/>
      <c r="E71" s="32"/>
      <c r="F71" s="32"/>
      <c r="G71" s="32"/>
      <c r="H71" s="248">
        <f>IF(B71=0,0,I71/B71)</f>
        <v>1.1358230317232831</v>
      </c>
      <c r="I71" s="247">
        <f>(B57*H57)+((1-(D21*H21))*I70)</f>
        <v>18219.891405717633</v>
      </c>
      <c r="J71" s="48"/>
      <c r="K71" s="32"/>
      <c r="L71" s="32"/>
      <c r="M71" s="48"/>
      <c r="N71" s="32"/>
      <c r="O71" s="2"/>
      <c r="P71" s="2"/>
      <c r="Q71" s="2"/>
      <c r="R71" s="2"/>
      <c r="S71" s="2"/>
      <c r="T71" s="2"/>
      <c r="U71" s="56"/>
      <c r="V71" s="56"/>
      <c r="X71" s="109"/>
      <c r="Y71" s="160"/>
      <c r="Z71" s="109"/>
      <c r="AA71" s="109"/>
      <c r="AB71" s="109"/>
      <c r="AC71" s="109"/>
      <c r="AD71" s="109"/>
      <c r="AE71" s="109"/>
      <c r="AF71" s="109"/>
      <c r="AG71" s="109"/>
      <c r="AH71" s="109"/>
      <c r="AI71" s="145"/>
      <c r="AJ71" s="109"/>
      <c r="AK71" s="145"/>
      <c r="AS71" s="25"/>
      <c r="AT71" s="25"/>
      <c r="AU71" s="25"/>
      <c r="AV71" s="25"/>
      <c r="AW71" s="25"/>
      <c r="AX71" s="25"/>
      <c r="AZ71" s="25"/>
      <c r="BA71" s="25"/>
      <c r="BB71" s="25"/>
      <c r="BC71" s="25"/>
      <c r="BD71" s="25"/>
      <c r="BE71" s="25"/>
      <c r="BI71" s="25"/>
      <c r="BJ71" s="25"/>
      <c r="BK71" s="25"/>
      <c r="BL71" s="25"/>
      <c r="BM71" s="25"/>
      <c r="BN71" s="25"/>
      <c r="BP71" s="25"/>
      <c r="BQ71" s="25"/>
      <c r="BR71" s="25"/>
      <c r="BS71" s="25"/>
      <c r="BT71" s="25"/>
      <c r="BU71" s="25"/>
      <c r="BX71" s="25"/>
      <c r="BY71" s="25"/>
      <c r="BZ71" s="25"/>
      <c r="CA71" s="25"/>
      <c r="CB71" s="25"/>
      <c r="CC71" s="25"/>
      <c r="CE71" s="25"/>
      <c r="CF71" s="25"/>
      <c r="CG71" s="25"/>
      <c r="CH71" s="25"/>
      <c r="CI71" s="25"/>
      <c r="CJ71" s="25"/>
    </row>
    <row r="72" spans="1:88" ht="14" customHeight="1" thickBot="1">
      <c r="A72" s="39" t="s">
        <v>44</v>
      </c>
      <c r="B72" s="39"/>
      <c r="C72" s="39"/>
      <c r="D72" s="38"/>
      <c r="E72" s="32"/>
      <c r="F72" s="32"/>
      <c r="G72" s="32"/>
      <c r="H72" s="31"/>
      <c r="I72" s="47"/>
      <c r="J72" s="48"/>
      <c r="K72" s="32"/>
      <c r="L72" s="32"/>
      <c r="M72" s="48"/>
      <c r="N72" s="32"/>
      <c r="O72" s="2"/>
      <c r="P72" s="2"/>
      <c r="Q72" s="2"/>
      <c r="R72" s="2"/>
      <c r="S72" s="2"/>
      <c r="T72" s="2"/>
      <c r="U72" s="56"/>
      <c r="V72" s="56"/>
      <c r="X72" s="109"/>
      <c r="Y72" s="160"/>
      <c r="Z72" s="109"/>
      <c r="AA72" s="112"/>
      <c r="AB72" s="109"/>
      <c r="AC72" s="112"/>
      <c r="AD72" s="109"/>
      <c r="AE72" s="112"/>
      <c r="AF72" s="109"/>
      <c r="AG72" s="112"/>
      <c r="AH72" s="109"/>
      <c r="AI72" s="191"/>
      <c r="AJ72" s="192"/>
      <c r="AK72" s="193"/>
      <c r="AS72" s="25"/>
      <c r="AT72" s="25"/>
      <c r="AU72" s="25"/>
      <c r="AV72" s="25"/>
      <c r="AW72" s="25"/>
      <c r="AX72" s="25"/>
      <c r="AZ72" s="25"/>
      <c r="BA72" s="25"/>
      <c r="BB72" s="25"/>
      <c r="BC72" s="25"/>
      <c r="BD72" s="25"/>
      <c r="BE72" s="25"/>
      <c r="BI72" s="25"/>
      <c r="BJ72" s="25"/>
      <c r="BK72" s="25"/>
      <c r="BL72" s="25"/>
      <c r="BM72" s="25"/>
      <c r="BN72" s="25"/>
      <c r="BP72" s="25"/>
      <c r="BQ72" s="25"/>
      <c r="BR72" s="25"/>
      <c r="BS72" s="25"/>
      <c r="BT72" s="25"/>
      <c r="BU72" s="25"/>
      <c r="BX72" s="25"/>
      <c r="BY72" s="25"/>
      <c r="BZ72" s="25"/>
      <c r="CA72" s="25"/>
      <c r="CB72" s="25"/>
      <c r="CC72" s="25"/>
      <c r="CE72" s="25"/>
      <c r="CF72" s="25"/>
      <c r="CG72" s="25"/>
      <c r="CH72" s="25"/>
      <c r="CI72" s="25"/>
      <c r="CJ72" s="25"/>
    </row>
    <row r="73" spans="1:88" ht="14" customHeight="1">
      <c r="A73" s="105"/>
      <c r="B73" s="106"/>
      <c r="C73" s="39"/>
      <c r="D73" s="38"/>
      <c r="E73" s="32"/>
      <c r="F73" s="32"/>
      <c r="G73" s="32"/>
      <c r="H73" s="31"/>
      <c r="I73" s="47"/>
      <c r="J73" s="48"/>
      <c r="K73" s="32"/>
      <c r="L73" s="32"/>
      <c r="M73" s="48"/>
      <c r="N73" s="3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S73" s="25"/>
      <c r="AT73" s="25"/>
      <c r="AU73" s="25"/>
      <c r="AV73" s="25"/>
      <c r="AW73" s="25"/>
      <c r="AX73" s="25"/>
      <c r="AZ73" s="25"/>
      <c r="BA73" s="25"/>
      <c r="BB73" s="25"/>
      <c r="BC73" s="25"/>
      <c r="BD73" s="25"/>
      <c r="BE73" s="25"/>
      <c r="BI73" s="25"/>
      <c r="BJ73" s="25"/>
      <c r="BK73" s="25"/>
      <c r="BL73" s="25"/>
      <c r="BM73" s="25"/>
      <c r="BN73" s="25"/>
      <c r="BP73" s="25"/>
      <c r="BQ73" s="25"/>
      <c r="BR73" s="25"/>
      <c r="BS73" s="25"/>
      <c r="BT73" s="25"/>
      <c r="BU73" s="25"/>
      <c r="BX73" s="25"/>
      <c r="BY73" s="25"/>
      <c r="BZ73" s="25"/>
      <c r="CA73" s="25"/>
      <c r="CB73" s="25"/>
      <c r="CC73" s="25"/>
      <c r="CE73" s="25"/>
      <c r="CF73" s="25"/>
      <c r="CG73" s="25"/>
      <c r="CH73" s="25"/>
      <c r="CI73" s="25"/>
      <c r="CJ73" s="25"/>
    </row>
    <row r="74" spans="1:88" ht="14" customHeight="1">
      <c r="A74" s="39" t="s">
        <v>124</v>
      </c>
      <c r="B74" s="75">
        <f>[1]Summ!$K$815</f>
        <v>0</v>
      </c>
      <c r="C74" s="14"/>
      <c r="D74" s="12"/>
      <c r="E74" s="14"/>
      <c r="F74" s="14"/>
      <c r="G74" s="14"/>
      <c r="H74" s="12"/>
      <c r="I74" s="14"/>
      <c r="J74" s="12"/>
      <c r="K74" s="14"/>
      <c r="L74" s="14"/>
      <c r="M74" s="10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S74" s="25"/>
      <c r="AT74" s="25"/>
      <c r="AU74" s="25"/>
      <c r="AV74" s="25"/>
      <c r="AW74" s="25"/>
      <c r="AX74" s="25"/>
      <c r="AZ74" s="25"/>
      <c r="BA74" s="25"/>
      <c r="BB74" s="25"/>
      <c r="BC74" s="25"/>
      <c r="BD74" s="25"/>
      <c r="BE74" s="25"/>
      <c r="BI74" s="25"/>
      <c r="BJ74" s="25"/>
      <c r="BK74" s="25"/>
      <c r="BL74" s="25"/>
      <c r="BM74" s="25"/>
      <c r="BN74" s="25"/>
      <c r="BP74" s="25"/>
      <c r="BQ74" s="25"/>
      <c r="BR74" s="25"/>
      <c r="BS74" s="25"/>
      <c r="BT74" s="25"/>
      <c r="BU74" s="25"/>
      <c r="BX74" s="25"/>
      <c r="BY74" s="25"/>
      <c r="BZ74" s="25"/>
      <c r="CA74" s="25"/>
      <c r="CB74" s="25"/>
      <c r="CC74" s="25"/>
      <c r="CE74" s="25"/>
      <c r="CF74" s="25"/>
      <c r="CG74" s="25"/>
      <c r="CH74" s="25"/>
      <c r="CI74" s="25"/>
      <c r="CJ74" s="25"/>
    </row>
    <row r="75" spans="1:88" ht="15.75" customHeight="1">
      <c r="A75" s="73" t="str">
        <f>A26</f>
        <v>Income : Better-off HHs</v>
      </c>
      <c r="B75" s="2"/>
      <c r="C75" s="2"/>
      <c r="D75" s="31"/>
      <c r="E75" s="2"/>
      <c r="F75" s="2"/>
      <c r="G75" s="2"/>
      <c r="H75" s="17"/>
      <c r="I75" s="2"/>
      <c r="J75" s="33"/>
      <c r="M75" s="57"/>
      <c r="N75" s="58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S75" s="25"/>
      <c r="AT75" s="25"/>
      <c r="AU75" s="25"/>
      <c r="AV75" s="25"/>
      <c r="AW75" s="25"/>
      <c r="AX75" s="25"/>
      <c r="AZ75" s="25"/>
      <c r="BA75" s="25"/>
      <c r="BB75" s="25"/>
      <c r="BC75" s="25"/>
      <c r="BD75" s="25"/>
      <c r="BE75" s="25"/>
      <c r="BI75" s="25"/>
      <c r="BJ75" s="25"/>
      <c r="BK75" s="25"/>
      <c r="BL75" s="25"/>
      <c r="BM75" s="25"/>
      <c r="BN75" s="25"/>
      <c r="BP75" s="25"/>
      <c r="BQ75" s="25"/>
      <c r="BR75" s="25"/>
      <c r="BS75" s="25"/>
      <c r="BT75" s="25"/>
      <c r="BU75" s="25"/>
      <c r="BX75" s="25"/>
      <c r="BY75" s="25"/>
      <c r="BZ75" s="25"/>
      <c r="CA75" s="25"/>
      <c r="CB75" s="25"/>
      <c r="CC75" s="25"/>
      <c r="CE75" s="25"/>
      <c r="CF75" s="25"/>
      <c r="CG75" s="25"/>
      <c r="CH75" s="25"/>
      <c r="CI75" s="25"/>
      <c r="CJ75" s="25"/>
    </row>
    <row r="76" spans="1:88" ht="14" customHeight="1">
      <c r="A76" s="2"/>
      <c r="B76" s="19" t="s">
        <v>7</v>
      </c>
      <c r="C76" s="19" t="s">
        <v>8</v>
      </c>
      <c r="D76" s="16" t="s">
        <v>9</v>
      </c>
      <c r="H76" s="16" t="s">
        <v>12</v>
      </c>
      <c r="I76" s="19" t="s">
        <v>13</v>
      </c>
      <c r="J76" s="16" t="s">
        <v>14</v>
      </c>
      <c r="K76" s="19" t="s">
        <v>7</v>
      </c>
      <c r="L76" s="19" t="s">
        <v>15</v>
      </c>
      <c r="M76" s="57" t="str">
        <f t="shared" ref="M76:M101" si="39">(J76)</f>
        <v>Curr.</v>
      </c>
      <c r="N76" s="58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S76" s="25"/>
      <c r="AT76" s="25"/>
      <c r="AU76" s="25"/>
      <c r="AV76" s="25"/>
      <c r="AW76" s="25"/>
      <c r="AX76" s="25"/>
      <c r="AZ76" s="25"/>
      <c r="BA76" s="25"/>
      <c r="BB76" s="25"/>
      <c r="BC76" s="25"/>
      <c r="BD76" s="25"/>
      <c r="BE76" s="25"/>
      <c r="BI76" s="25"/>
      <c r="BJ76" s="25"/>
      <c r="BK76" s="25"/>
      <c r="BL76" s="25"/>
      <c r="BM76" s="25"/>
      <c r="BN76" s="25"/>
      <c r="BP76" s="25"/>
      <c r="BQ76" s="25"/>
      <c r="BR76" s="25"/>
      <c r="BS76" s="25"/>
      <c r="BT76" s="25"/>
      <c r="BU76" s="25"/>
      <c r="BX76" s="25"/>
      <c r="BY76" s="25"/>
      <c r="BZ76" s="25"/>
      <c r="CA76" s="25"/>
      <c r="CB76" s="25"/>
      <c r="CC76" s="25"/>
      <c r="CE76" s="25"/>
      <c r="CF76" s="25"/>
      <c r="CG76" s="25"/>
      <c r="CH76" s="25"/>
      <c r="CI76" s="25"/>
      <c r="CJ76" s="25"/>
    </row>
    <row r="77" spans="1:88" ht="14" customHeight="1">
      <c r="A77" s="2" t="s">
        <v>45</v>
      </c>
      <c r="B77" s="19" t="s">
        <v>16</v>
      </c>
      <c r="C77" s="19" t="s">
        <v>17</v>
      </c>
      <c r="D77" s="16" t="s">
        <v>16</v>
      </c>
      <c r="H77" s="16" t="s">
        <v>18</v>
      </c>
      <c r="I77" s="19" t="s">
        <v>16</v>
      </c>
      <c r="J77" s="16" t="s">
        <v>16</v>
      </c>
      <c r="K77" s="19" t="s">
        <v>16</v>
      </c>
      <c r="L77" s="19" t="s">
        <v>19</v>
      </c>
      <c r="M77" s="57" t="str">
        <f t="shared" si="39"/>
        <v>Access</v>
      </c>
      <c r="N77" s="58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S77" s="25"/>
      <c r="AT77" s="25"/>
      <c r="AU77" s="25"/>
      <c r="AV77" s="25"/>
      <c r="AW77" s="25"/>
      <c r="AX77" s="25"/>
      <c r="AZ77" s="25"/>
      <c r="BA77" s="25"/>
      <c r="BB77" s="25"/>
      <c r="BC77" s="25"/>
      <c r="BD77" s="25"/>
      <c r="BE77" s="25"/>
      <c r="BI77" s="25"/>
      <c r="BJ77" s="25"/>
      <c r="BK77" s="25"/>
      <c r="BL77" s="25"/>
      <c r="BM77" s="25"/>
      <c r="BN77" s="25"/>
      <c r="BP77" s="25"/>
      <c r="BQ77" s="25"/>
      <c r="BR77" s="25"/>
      <c r="BS77" s="25"/>
      <c r="BT77" s="25"/>
      <c r="BU77" s="25"/>
      <c r="BX77" s="25"/>
      <c r="BY77" s="25"/>
      <c r="BZ77" s="25"/>
      <c r="CA77" s="25"/>
      <c r="CB77" s="25"/>
      <c r="CC77" s="25"/>
      <c r="CE77" s="25"/>
      <c r="CF77" s="25"/>
      <c r="CG77" s="25"/>
      <c r="CH77" s="25"/>
      <c r="CI77" s="25"/>
      <c r="CJ77" s="25"/>
    </row>
    <row r="78" spans="1:88" ht="14" customHeight="1">
      <c r="A78" s="2" t="str">
        <f t="shared" ref="A78:A100" si="40">IF(A29="","",A29)</f>
        <v>Cattle sales - local: no. sold</v>
      </c>
      <c r="B78" s="75">
        <f t="shared" ref="B78:C100" si="41">(B29/$B$70)</f>
        <v>2.1069198876306872</v>
      </c>
      <c r="C78" s="75">
        <f t="shared" si="41"/>
        <v>0</v>
      </c>
      <c r="D78" s="24">
        <f t="shared" ref="D78:D100" si="42">(B78+C78)</f>
        <v>2.1069198876306872</v>
      </c>
      <c r="H78" s="24">
        <f t="shared" ref="H78:H100" si="43">(E29*F29/G29*F$7/F$9)</f>
        <v>0.99107142857142871</v>
      </c>
      <c r="I78" s="22">
        <f t="shared" ref="I78:I100" si="44">(D78*H78)</f>
        <v>2.0881081029196991</v>
      </c>
      <c r="J78" s="24">
        <f t="shared" ref="J78:J100" si="45">IF(I$24&lt;=1+I$113,I78,L78+J$25*(I78-L78))</f>
        <v>2.0881081029196991</v>
      </c>
      <c r="K78" s="22">
        <f t="shared" ref="K78:K100" si="46">(B78)</f>
        <v>2.1069198876306872</v>
      </c>
      <c r="L78" s="22">
        <f t="shared" ref="L78:L100" si="47">(K78*H78)</f>
        <v>2.0881081029196991</v>
      </c>
      <c r="M78" s="231">
        <f t="shared" si="39"/>
        <v>2.0881081029196991</v>
      </c>
      <c r="N78" s="233">
        <v>5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S78" s="25"/>
      <c r="AT78" s="25"/>
      <c r="AU78" s="25"/>
      <c r="AV78" s="25"/>
      <c r="AW78" s="25"/>
      <c r="AX78" s="25"/>
      <c r="AZ78" s="25"/>
      <c r="BA78" s="25"/>
      <c r="BB78" s="25"/>
      <c r="BC78" s="25"/>
      <c r="BD78" s="25"/>
      <c r="BE78" s="25"/>
      <c r="BI78" s="25"/>
      <c r="BJ78" s="25"/>
      <c r="BK78" s="25"/>
      <c r="BL78" s="25"/>
      <c r="BM78" s="25"/>
      <c r="BN78" s="25"/>
      <c r="BP78" s="25"/>
      <c r="BQ78" s="25"/>
      <c r="BR78" s="25"/>
      <c r="BS78" s="25"/>
      <c r="BT78" s="25"/>
      <c r="BU78" s="25"/>
      <c r="BX78" s="25"/>
      <c r="BY78" s="25"/>
      <c r="BZ78" s="25"/>
      <c r="CA78" s="25"/>
      <c r="CB78" s="25"/>
      <c r="CC78" s="25"/>
      <c r="CE78" s="25"/>
      <c r="CF78" s="25"/>
      <c r="CG78" s="25"/>
      <c r="CH78" s="25"/>
      <c r="CI78" s="25"/>
      <c r="CJ78" s="25"/>
    </row>
    <row r="79" spans="1:88" ht="14" customHeight="1">
      <c r="A79" s="2" t="str">
        <f t="shared" si="40"/>
        <v>Goat sales - local: no. sold</v>
      </c>
      <c r="B79" s="75">
        <f t="shared" si="41"/>
        <v>0.56184530336818328</v>
      </c>
      <c r="C79" s="75">
        <f t="shared" si="41"/>
        <v>0.21069198876306872</v>
      </c>
      <c r="D79" s="24">
        <f t="shared" si="42"/>
        <v>0.772537292131252</v>
      </c>
      <c r="H79" s="24">
        <f t="shared" si="43"/>
        <v>0.9732142857142857</v>
      </c>
      <c r="I79" s="22">
        <f t="shared" si="44"/>
        <v>0.75184432894916486</v>
      </c>
      <c r="J79" s="24">
        <f t="shared" si="45"/>
        <v>0.54504898650781852</v>
      </c>
      <c r="K79" s="22">
        <f t="shared" si="46"/>
        <v>0.56184530336818328</v>
      </c>
      <c r="L79" s="22">
        <f t="shared" si="47"/>
        <v>0.54679587559939269</v>
      </c>
      <c r="M79" s="231">
        <f t="shared" si="39"/>
        <v>0.54504898650781852</v>
      </c>
      <c r="N79" s="233">
        <v>5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2" t="str">
        <f t="shared" si="40"/>
        <v>Sheep sales - local: no. sold</v>
      </c>
      <c r="B80" s="75">
        <f t="shared" si="41"/>
        <v>0.42138397752613743</v>
      </c>
      <c r="C80" s="75">
        <f t="shared" si="41"/>
        <v>0</v>
      </c>
      <c r="D80" s="24">
        <f t="shared" si="42"/>
        <v>0.42138397752613743</v>
      </c>
      <c r="H80" s="24">
        <f t="shared" si="43"/>
        <v>0.9732142857142857</v>
      </c>
      <c r="I80" s="22">
        <f t="shared" si="44"/>
        <v>0.41009690669954446</v>
      </c>
      <c r="J80" s="24">
        <f t="shared" si="45"/>
        <v>0.41009690669954446</v>
      </c>
      <c r="K80" s="22">
        <f t="shared" si="46"/>
        <v>0.42138397752613743</v>
      </c>
      <c r="L80" s="22">
        <f t="shared" si="47"/>
        <v>0.41009690669954446</v>
      </c>
      <c r="M80" s="231">
        <f t="shared" si="39"/>
        <v>0.41009690669954446</v>
      </c>
      <c r="N80" s="233">
        <v>5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2" t="str">
        <f t="shared" si="40"/>
        <v>Maize: kg produced</v>
      </c>
      <c r="B81" s="75">
        <f t="shared" si="41"/>
        <v>0.63207596628920615</v>
      </c>
      <c r="C81" s="75">
        <f t="shared" si="41"/>
        <v>-0.63207596628920615</v>
      </c>
      <c r="D81" s="24">
        <f t="shared" si="42"/>
        <v>0</v>
      </c>
      <c r="H81" s="24">
        <f t="shared" si="43"/>
        <v>0.9107142857142857</v>
      </c>
      <c r="I81" s="22">
        <f t="shared" si="44"/>
        <v>0</v>
      </c>
      <c r="J81" s="24">
        <f t="shared" si="45"/>
        <v>0.58054472281699088</v>
      </c>
      <c r="K81" s="22">
        <f t="shared" si="46"/>
        <v>0.63207596628920615</v>
      </c>
      <c r="L81" s="22">
        <f t="shared" si="47"/>
        <v>0.57564061215624129</v>
      </c>
      <c r="M81" s="231">
        <f t="shared" si="39"/>
        <v>0.58054472281699088</v>
      </c>
      <c r="N81" s="233">
        <v>2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2" t="str">
        <f t="shared" si="40"/>
        <v>WILD FOODS -- see worksheet Data 3</v>
      </c>
      <c r="B82" s="75">
        <f t="shared" si="41"/>
        <v>0</v>
      </c>
      <c r="C82" s="75">
        <f t="shared" si="41"/>
        <v>0</v>
      </c>
      <c r="D82" s="24">
        <f t="shared" si="42"/>
        <v>0</v>
      </c>
      <c r="H82" s="24">
        <f t="shared" si="43"/>
        <v>0.7142857142857143</v>
      </c>
      <c r="I82" s="22">
        <f t="shared" si="44"/>
        <v>0</v>
      </c>
      <c r="J82" s="24">
        <f t="shared" si="45"/>
        <v>0</v>
      </c>
      <c r="K82" s="22">
        <f t="shared" si="46"/>
        <v>0</v>
      </c>
      <c r="L82" s="22">
        <f t="shared" si="47"/>
        <v>0</v>
      </c>
      <c r="M82" s="231">
        <f t="shared" si="39"/>
        <v>0</v>
      </c>
      <c r="N82" s="233">
        <v>6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2" t="str">
        <f t="shared" si="40"/>
        <v>Agricultural cash income -- see Data2</v>
      </c>
      <c r="B83" s="75">
        <f t="shared" si="41"/>
        <v>0</v>
      </c>
      <c r="C83" s="75">
        <f t="shared" si="41"/>
        <v>0</v>
      </c>
      <c r="D83" s="24">
        <f t="shared" si="42"/>
        <v>0</v>
      </c>
      <c r="H83" s="24">
        <f t="shared" si="43"/>
        <v>0.86223214285714289</v>
      </c>
      <c r="I83" s="22">
        <f t="shared" si="44"/>
        <v>0</v>
      </c>
      <c r="J83" s="24">
        <f t="shared" si="45"/>
        <v>0</v>
      </c>
      <c r="K83" s="22">
        <f t="shared" si="46"/>
        <v>0</v>
      </c>
      <c r="L83" s="22">
        <f t="shared" si="47"/>
        <v>0</v>
      </c>
      <c r="M83" s="231">
        <f t="shared" si="39"/>
        <v>0</v>
      </c>
      <c r="N83" s="233">
        <v>7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>
      <c r="A84" s="2" t="str">
        <f t="shared" si="40"/>
        <v>Domestic work cash income -- see Data2</v>
      </c>
      <c r="B84" s="75">
        <f t="shared" si="41"/>
        <v>0</v>
      </c>
      <c r="C84" s="75">
        <f t="shared" si="41"/>
        <v>0</v>
      </c>
      <c r="D84" s="24">
        <f t="shared" si="42"/>
        <v>0</v>
      </c>
      <c r="H84" s="24">
        <f t="shared" si="43"/>
        <v>0.98214285714285721</v>
      </c>
      <c r="I84" s="22">
        <f t="shared" si="44"/>
        <v>0</v>
      </c>
      <c r="J84" s="24">
        <f t="shared" si="45"/>
        <v>0</v>
      </c>
      <c r="K84" s="22">
        <f t="shared" si="46"/>
        <v>0</v>
      </c>
      <c r="L84" s="22">
        <f t="shared" si="47"/>
        <v>0</v>
      </c>
      <c r="M84" s="231">
        <f t="shared" si="39"/>
        <v>0</v>
      </c>
      <c r="N84" s="233">
        <v>7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>
      <c r="A85" s="2" t="str">
        <f t="shared" si="40"/>
        <v>Formal Employment (conservancies, etc.)</v>
      </c>
      <c r="B85" s="75">
        <f t="shared" si="41"/>
        <v>46.352237527875118</v>
      </c>
      <c r="C85" s="75">
        <f t="shared" si="41"/>
        <v>0</v>
      </c>
      <c r="D85" s="24">
        <f t="shared" si="42"/>
        <v>46.352237527875118</v>
      </c>
      <c r="H85" s="24">
        <f t="shared" si="43"/>
        <v>0.95535714285714279</v>
      </c>
      <c r="I85" s="22">
        <f t="shared" si="44"/>
        <v>44.282941209666404</v>
      </c>
      <c r="J85" s="24">
        <f t="shared" si="45"/>
        <v>44.282941209666404</v>
      </c>
      <c r="K85" s="22">
        <f t="shared" si="46"/>
        <v>46.352237527875118</v>
      </c>
      <c r="L85" s="22">
        <f t="shared" si="47"/>
        <v>44.282941209666404</v>
      </c>
      <c r="M85" s="231">
        <f t="shared" si="39"/>
        <v>44.282941209666404</v>
      </c>
      <c r="N85" s="233">
        <v>8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2" t="str">
        <f t="shared" si="40"/>
        <v>Self-employment -- see Data2</v>
      </c>
      <c r="B86" s="75">
        <f t="shared" si="41"/>
        <v>0</v>
      </c>
      <c r="C86" s="75">
        <f t="shared" si="41"/>
        <v>0</v>
      </c>
      <c r="D86" s="24">
        <f t="shared" si="42"/>
        <v>0</v>
      </c>
      <c r="H86" s="24">
        <f t="shared" si="43"/>
        <v>0.98214285714285721</v>
      </c>
      <c r="I86" s="22">
        <f t="shared" si="44"/>
        <v>0</v>
      </c>
      <c r="J86" s="24">
        <f t="shared" si="45"/>
        <v>0</v>
      </c>
      <c r="K86" s="22">
        <f t="shared" si="46"/>
        <v>0</v>
      </c>
      <c r="L86" s="22">
        <f t="shared" si="47"/>
        <v>0</v>
      </c>
      <c r="M86" s="231">
        <f t="shared" si="39"/>
        <v>0</v>
      </c>
      <c r="N86" s="233">
        <v>10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2" t="str">
        <f t="shared" si="40"/>
        <v>Small business -- see Data2</v>
      </c>
      <c r="B87" s="75">
        <f t="shared" si="41"/>
        <v>8.2169875617596801</v>
      </c>
      <c r="C87" s="75">
        <f t="shared" si="41"/>
        <v>0</v>
      </c>
      <c r="D87" s="24">
        <f t="shared" si="42"/>
        <v>8.2169875617596801</v>
      </c>
      <c r="H87" s="24">
        <f t="shared" si="43"/>
        <v>0.9375</v>
      </c>
      <c r="I87" s="22">
        <f t="shared" si="44"/>
        <v>7.7034258391497001</v>
      </c>
      <c r="J87" s="24">
        <f t="shared" si="45"/>
        <v>7.7034258391497001</v>
      </c>
      <c r="K87" s="22">
        <f t="shared" si="46"/>
        <v>8.2169875617596801</v>
      </c>
      <c r="L87" s="22">
        <f t="shared" si="47"/>
        <v>7.7034258391497001</v>
      </c>
      <c r="M87" s="231">
        <f t="shared" si="39"/>
        <v>7.7034258391497001</v>
      </c>
      <c r="N87" s="233">
        <v>11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4" customHeight="1">
      <c r="A88" s="2" t="str">
        <f t="shared" si="40"/>
        <v>Social Cash Transfers -- see Data2</v>
      </c>
      <c r="B88" s="75">
        <f t="shared" si="41"/>
        <v>1.4595517608667423</v>
      </c>
      <c r="C88" s="75">
        <f t="shared" si="41"/>
        <v>0</v>
      </c>
      <c r="D88" s="24">
        <f t="shared" si="42"/>
        <v>1.4595517608667423</v>
      </c>
      <c r="H88" s="24">
        <f t="shared" si="43"/>
        <v>0.99107142857142871</v>
      </c>
      <c r="I88" s="22">
        <f t="shared" si="44"/>
        <v>1.4465200487161467</v>
      </c>
      <c r="J88" s="24">
        <f t="shared" si="45"/>
        <v>1.4465200487161467</v>
      </c>
      <c r="K88" s="22">
        <f t="shared" si="46"/>
        <v>1.4595517608667423</v>
      </c>
      <c r="L88" s="22">
        <f t="shared" si="47"/>
        <v>1.4465200487161467</v>
      </c>
      <c r="M88" s="231">
        <f t="shared" si="39"/>
        <v>1.4465200487161467</v>
      </c>
      <c r="N88" s="233">
        <v>14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 t="str">
        <f t="shared" si="40"/>
        <v/>
      </c>
      <c r="B89" s="75">
        <f t="shared" si="41"/>
        <v>0</v>
      </c>
      <c r="C89" s="75">
        <f t="shared" si="41"/>
        <v>0</v>
      </c>
      <c r="D89" s="24">
        <f t="shared" si="42"/>
        <v>0</v>
      </c>
      <c r="H89" s="24">
        <f t="shared" si="43"/>
        <v>0.89285714285714279</v>
      </c>
      <c r="I89" s="22">
        <f t="shared" si="44"/>
        <v>0</v>
      </c>
      <c r="J89" s="24">
        <f t="shared" si="45"/>
        <v>0</v>
      </c>
      <c r="K89" s="22">
        <f t="shared" si="46"/>
        <v>0</v>
      </c>
      <c r="L89" s="22">
        <f t="shared" si="47"/>
        <v>0</v>
      </c>
      <c r="M89" s="231">
        <f t="shared" si="39"/>
        <v>0</v>
      </c>
      <c r="N89" s="233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tr">
        <f t="shared" si="40"/>
        <v/>
      </c>
      <c r="B90" s="75">
        <f t="shared" si="41"/>
        <v>0</v>
      </c>
      <c r="C90" s="75">
        <f t="shared" si="41"/>
        <v>0</v>
      </c>
      <c r="D90" s="24">
        <f t="shared" si="42"/>
        <v>0</v>
      </c>
      <c r="H90" s="24">
        <f t="shared" si="43"/>
        <v>0.89285714285714279</v>
      </c>
      <c r="I90" s="22">
        <f t="shared" si="44"/>
        <v>0</v>
      </c>
      <c r="J90" s="24">
        <f t="shared" si="45"/>
        <v>0</v>
      </c>
      <c r="K90" s="22">
        <f t="shared" si="46"/>
        <v>0</v>
      </c>
      <c r="L90" s="22">
        <f t="shared" si="47"/>
        <v>0</v>
      </c>
      <c r="M90" s="231">
        <f t="shared" si="39"/>
        <v>0</v>
      </c>
      <c r="N90" s="233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si="40"/>
        <v/>
      </c>
      <c r="B91" s="75">
        <f t="shared" si="41"/>
        <v>0</v>
      </c>
      <c r="C91" s="75">
        <f t="shared" si="41"/>
        <v>0</v>
      </c>
      <c r="D91" s="24">
        <f t="shared" si="42"/>
        <v>0</v>
      </c>
      <c r="H91" s="24">
        <f t="shared" si="43"/>
        <v>0.89285714285714279</v>
      </c>
      <c r="I91" s="22">
        <f t="shared" si="44"/>
        <v>0</v>
      </c>
      <c r="J91" s="24">
        <f t="shared" si="45"/>
        <v>0</v>
      </c>
      <c r="K91" s="22">
        <f t="shared" si="46"/>
        <v>0</v>
      </c>
      <c r="L91" s="22">
        <f t="shared" si="47"/>
        <v>0</v>
      </c>
      <c r="M91" s="231">
        <f t="shared" si="39"/>
        <v>0</v>
      </c>
      <c r="N91" s="233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40"/>
        <v/>
      </c>
      <c r="B92" s="75">
        <f t="shared" si="41"/>
        <v>0</v>
      </c>
      <c r="C92" s="75">
        <f t="shared" si="41"/>
        <v>0</v>
      </c>
      <c r="D92" s="24">
        <f t="shared" si="42"/>
        <v>0</v>
      </c>
      <c r="H92" s="24">
        <f t="shared" si="43"/>
        <v>0.89285714285714279</v>
      </c>
      <c r="I92" s="22">
        <f t="shared" si="44"/>
        <v>0</v>
      </c>
      <c r="J92" s="24">
        <f t="shared" si="45"/>
        <v>0</v>
      </c>
      <c r="K92" s="22">
        <f t="shared" si="46"/>
        <v>0</v>
      </c>
      <c r="L92" s="22">
        <f t="shared" si="47"/>
        <v>0</v>
      </c>
      <c r="M92" s="231">
        <f t="shared" si="39"/>
        <v>0</v>
      </c>
      <c r="N92" s="233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0"/>
        <v/>
      </c>
      <c r="B93" s="75">
        <f t="shared" si="41"/>
        <v>0</v>
      </c>
      <c r="C93" s="75">
        <f t="shared" si="41"/>
        <v>0</v>
      </c>
      <c r="D93" s="24">
        <f t="shared" si="42"/>
        <v>0</v>
      </c>
      <c r="H93" s="24">
        <f t="shared" si="43"/>
        <v>0.89285714285714279</v>
      </c>
      <c r="I93" s="22">
        <f t="shared" si="44"/>
        <v>0</v>
      </c>
      <c r="J93" s="24">
        <f t="shared" si="45"/>
        <v>0</v>
      </c>
      <c r="K93" s="22">
        <f t="shared" si="46"/>
        <v>0</v>
      </c>
      <c r="L93" s="22">
        <f t="shared" si="47"/>
        <v>0</v>
      </c>
      <c r="M93" s="57">
        <f t="shared" si="39"/>
        <v>0</v>
      </c>
      <c r="N93" s="233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0"/>
        <v/>
      </c>
      <c r="B94" s="75">
        <f t="shared" si="41"/>
        <v>0</v>
      </c>
      <c r="C94" s="75">
        <f t="shared" si="41"/>
        <v>0</v>
      </c>
      <c r="D94" s="24">
        <f t="shared" si="42"/>
        <v>0</v>
      </c>
      <c r="H94" s="24">
        <f t="shared" si="43"/>
        <v>0.89285714285714279</v>
      </c>
      <c r="I94" s="22">
        <f t="shared" si="44"/>
        <v>0</v>
      </c>
      <c r="J94" s="24">
        <f t="shared" si="45"/>
        <v>0</v>
      </c>
      <c r="K94" s="22">
        <f t="shared" si="46"/>
        <v>0</v>
      </c>
      <c r="L94" s="22">
        <f t="shared" si="47"/>
        <v>0</v>
      </c>
      <c r="M94" s="57">
        <f t="shared" si="39"/>
        <v>0</v>
      </c>
      <c r="N94" s="233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0"/>
        <v/>
      </c>
      <c r="B95" s="75">
        <f t="shared" si="41"/>
        <v>0</v>
      </c>
      <c r="C95" s="75">
        <f t="shared" si="41"/>
        <v>0</v>
      </c>
      <c r="D95" s="24">
        <f t="shared" si="42"/>
        <v>0</v>
      </c>
      <c r="H95" s="24">
        <f t="shared" si="43"/>
        <v>0.89285714285714279</v>
      </c>
      <c r="I95" s="22">
        <f t="shared" si="44"/>
        <v>0</v>
      </c>
      <c r="J95" s="24">
        <f t="shared" si="45"/>
        <v>0</v>
      </c>
      <c r="K95" s="22">
        <f t="shared" si="46"/>
        <v>0</v>
      </c>
      <c r="L95" s="22">
        <f t="shared" si="47"/>
        <v>0</v>
      </c>
      <c r="M95" s="57">
        <f t="shared" si="39"/>
        <v>0</v>
      </c>
      <c r="N95" s="233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0"/>
        <v/>
      </c>
      <c r="B96" s="75">
        <f t="shared" si="41"/>
        <v>0</v>
      </c>
      <c r="C96" s="75">
        <f t="shared" si="41"/>
        <v>0</v>
      </c>
      <c r="D96" s="24">
        <f t="shared" si="42"/>
        <v>0</v>
      </c>
      <c r="H96" s="24">
        <f t="shared" si="43"/>
        <v>0.89285714285714279</v>
      </c>
      <c r="I96" s="22">
        <f t="shared" si="44"/>
        <v>0</v>
      </c>
      <c r="J96" s="24">
        <f t="shared" si="45"/>
        <v>0</v>
      </c>
      <c r="K96" s="22">
        <f t="shared" si="46"/>
        <v>0</v>
      </c>
      <c r="L96" s="22">
        <f t="shared" si="47"/>
        <v>0</v>
      </c>
      <c r="M96" s="57">
        <f t="shared" si="39"/>
        <v>0</v>
      </c>
      <c r="N96" s="233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0"/>
        <v/>
      </c>
      <c r="B97" s="75">
        <f t="shared" si="41"/>
        <v>0</v>
      </c>
      <c r="C97" s="75">
        <f t="shared" si="41"/>
        <v>0</v>
      </c>
      <c r="D97" s="24">
        <f t="shared" si="42"/>
        <v>0</v>
      </c>
      <c r="H97" s="24">
        <f t="shared" si="43"/>
        <v>0.89285714285714279</v>
      </c>
      <c r="I97" s="22">
        <f t="shared" si="44"/>
        <v>0</v>
      </c>
      <c r="J97" s="24">
        <f t="shared" si="45"/>
        <v>0</v>
      </c>
      <c r="K97" s="22">
        <f t="shared" si="46"/>
        <v>0</v>
      </c>
      <c r="L97" s="22">
        <f t="shared" si="47"/>
        <v>0</v>
      </c>
      <c r="M97" s="57">
        <f t="shared" si="39"/>
        <v>0</v>
      </c>
      <c r="N97" s="233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0"/>
        <v/>
      </c>
      <c r="B98" s="75">
        <f t="shared" si="41"/>
        <v>0</v>
      </c>
      <c r="C98" s="75">
        <f t="shared" si="41"/>
        <v>0</v>
      </c>
      <c r="D98" s="24">
        <f t="shared" si="42"/>
        <v>0</v>
      </c>
      <c r="H98" s="24">
        <f t="shared" si="43"/>
        <v>0.89285714285714279</v>
      </c>
      <c r="I98" s="22">
        <f t="shared" si="44"/>
        <v>0</v>
      </c>
      <c r="J98" s="24">
        <f t="shared" si="45"/>
        <v>0</v>
      </c>
      <c r="K98" s="22">
        <f t="shared" si="46"/>
        <v>0</v>
      </c>
      <c r="L98" s="22">
        <f t="shared" si="47"/>
        <v>0</v>
      </c>
      <c r="M98" s="57">
        <f t="shared" si="39"/>
        <v>0</v>
      </c>
      <c r="N98" s="233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0"/>
        <v/>
      </c>
      <c r="B99" s="75">
        <f t="shared" si="41"/>
        <v>0</v>
      </c>
      <c r="C99" s="75">
        <f t="shared" si="41"/>
        <v>0</v>
      </c>
      <c r="D99" s="24">
        <f t="shared" si="42"/>
        <v>0</v>
      </c>
      <c r="H99" s="24">
        <f t="shared" si="43"/>
        <v>0.89285714285714279</v>
      </c>
      <c r="I99" s="22">
        <f t="shared" si="44"/>
        <v>0</v>
      </c>
      <c r="J99" s="24">
        <f t="shared" si="45"/>
        <v>0</v>
      </c>
      <c r="K99" s="22">
        <f t="shared" si="46"/>
        <v>0</v>
      </c>
      <c r="L99" s="22">
        <f t="shared" si="47"/>
        <v>0</v>
      </c>
      <c r="M99" s="57">
        <f t="shared" si="39"/>
        <v>0</v>
      </c>
      <c r="N99" s="233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0"/>
        <v/>
      </c>
      <c r="B100" s="75">
        <f t="shared" si="41"/>
        <v>0</v>
      </c>
      <c r="C100" s="75">
        <f t="shared" si="41"/>
        <v>0</v>
      </c>
      <c r="D100" s="24">
        <f t="shared" si="42"/>
        <v>0</v>
      </c>
      <c r="H100" s="24">
        <f t="shared" si="43"/>
        <v>0.89285714285714279</v>
      </c>
      <c r="I100" s="22">
        <f t="shared" si="44"/>
        <v>0</v>
      </c>
      <c r="J100" s="24">
        <f t="shared" si="45"/>
        <v>0</v>
      </c>
      <c r="K100" s="22">
        <f t="shared" si="46"/>
        <v>0</v>
      </c>
      <c r="L100" s="22">
        <f t="shared" si="47"/>
        <v>0</v>
      </c>
      <c r="M100" s="57">
        <f t="shared" si="39"/>
        <v>0</v>
      </c>
      <c r="N100" s="233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">
        <v>32</v>
      </c>
      <c r="B101" s="22">
        <f>SUM(B78:B100)</f>
        <v>59.75100198531576</v>
      </c>
      <c r="C101" s="22">
        <f>SUM(C78:C100)</f>
        <v>-0.42138397752613743</v>
      </c>
      <c r="D101" s="24">
        <f>SUM(D78:D100)</f>
        <v>59.32961800778962</v>
      </c>
      <c r="E101" s="22"/>
      <c r="F101" s="2"/>
      <c r="G101" s="2"/>
      <c r="H101" s="31"/>
      <c r="I101" s="22">
        <f>SUM(I78:I100)</f>
        <v>56.682936436100661</v>
      </c>
      <c r="J101" s="24">
        <f>SUM(J78:J100)</f>
        <v>57.056685816476303</v>
      </c>
      <c r="K101" s="22">
        <f>SUM(K78:K100)</f>
        <v>59.75100198531576</v>
      </c>
      <c r="L101" s="22">
        <f>SUM(L78:L100)</f>
        <v>57.053528594907128</v>
      </c>
      <c r="M101" s="57">
        <f t="shared" si="39"/>
        <v>57.056685816476303</v>
      </c>
      <c r="N101" s="5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83"/>
      <c r="B102" s="83"/>
      <c r="C102" s="83"/>
      <c r="D102" s="10"/>
      <c r="E102" s="11"/>
      <c r="F102" s="11"/>
      <c r="G102" s="11"/>
      <c r="H102" s="10"/>
      <c r="I102" s="11"/>
      <c r="J102" s="62"/>
      <c r="K102" s="14"/>
      <c r="L102" s="11"/>
      <c r="M102" s="63"/>
      <c r="N102" s="5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>
      <c r="A103" s="73" t="str">
        <f>A54</f>
        <v>Expenditure : Better-off HHs</v>
      </c>
      <c r="B103" s="2"/>
      <c r="C103" s="2"/>
      <c r="D103" s="31"/>
      <c r="E103" s="2"/>
      <c r="F103" s="2"/>
      <c r="G103" s="2"/>
      <c r="H103" s="31"/>
      <c r="I103" s="22"/>
      <c r="J103" s="18"/>
      <c r="L103" s="2"/>
      <c r="M103" s="57"/>
      <c r="N103" s="5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2"/>
      <c r="AC103" s="2"/>
      <c r="AD103" s="2"/>
      <c r="AE103" s="2"/>
      <c r="AF103" s="2"/>
      <c r="AG103" s="2"/>
      <c r="AM103" s="21"/>
      <c r="AN103" s="21"/>
      <c r="AO103" s="21"/>
      <c r="AV103" s="21"/>
      <c r="AW103" s="21"/>
      <c r="AX103" s="21"/>
      <c r="BC103" s="21"/>
      <c r="BD103" s="21"/>
      <c r="BE103" s="21"/>
      <c r="BL103" s="21"/>
      <c r="BM103" s="21"/>
      <c r="BN103" s="21"/>
      <c r="BS103" s="21"/>
      <c r="BT103" s="21"/>
      <c r="BU103" s="21"/>
      <c r="CA103" s="21"/>
      <c r="CB103" s="21"/>
      <c r="CC103" s="21"/>
      <c r="CH103" s="21"/>
      <c r="CI103" s="21"/>
      <c r="CJ103" s="21"/>
    </row>
    <row r="104" spans="1:88" ht="14" customHeight="1">
      <c r="A104" s="84"/>
      <c r="B104" s="19" t="s">
        <v>7</v>
      </c>
      <c r="C104" s="2"/>
      <c r="D104" s="16"/>
      <c r="H104" s="16" t="s">
        <v>12</v>
      </c>
      <c r="I104" s="19" t="s">
        <v>13</v>
      </c>
      <c r="J104" s="16" t="s">
        <v>14</v>
      </c>
      <c r="K104" s="19" t="s">
        <v>7</v>
      </c>
      <c r="L104" s="19" t="s">
        <v>15</v>
      </c>
      <c r="M104" s="57" t="str">
        <f t="shared" ref="M104:M112" si="48">(J104)</f>
        <v>Curr.</v>
      </c>
      <c r="N104" s="5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">
        <v>45</v>
      </c>
      <c r="B105" s="19" t="s">
        <v>35</v>
      </c>
      <c r="C105" s="2"/>
      <c r="D105" s="31"/>
      <c r="H105" s="16" t="s">
        <v>18</v>
      </c>
      <c r="I105" s="19" t="s">
        <v>35</v>
      </c>
      <c r="J105" s="16" t="s">
        <v>35</v>
      </c>
      <c r="K105" s="19" t="s">
        <v>35</v>
      </c>
      <c r="L105" s="19" t="s">
        <v>19</v>
      </c>
      <c r="M105" s="57" t="str">
        <f t="shared" si="48"/>
        <v>Expend</v>
      </c>
      <c r="N105" s="5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2"/>
      <c r="AC105" s="2"/>
      <c r="AD105" s="2"/>
      <c r="AE105" s="2"/>
      <c r="AF105" s="2"/>
      <c r="AG105" s="2"/>
    </row>
    <row r="106" spans="1:88" ht="14" customHeight="1">
      <c r="A106" s="64" t="s">
        <v>132</v>
      </c>
      <c r="B106" s="60">
        <f>B57/B$70</f>
        <v>2.2282380850336865</v>
      </c>
      <c r="C106" s="2"/>
      <c r="D106" s="24"/>
      <c r="H106" s="97">
        <f>(E57*F57/G$29*F$7/F$9)</f>
        <v>1.0178571428571426</v>
      </c>
      <c r="I106" s="29">
        <f>IF(SUMPRODUCT($B$106:$B106,$H$106:$H106)&lt;I$101,($B106*$H106),I$101)</f>
        <v>2.268028050837859</v>
      </c>
      <c r="J106" s="238">
        <f>IF(SUMPRODUCT($B$106:$B106,$H$106:$H106)&lt;J$101,($B106*$H106),J$101)</f>
        <v>2.268028050837859</v>
      </c>
      <c r="K106" s="29">
        <f>(B106)</f>
        <v>2.2282380850336865</v>
      </c>
      <c r="L106" s="29">
        <f>IF(SUMPRODUCT($B$106:$B106,$H$106:$H106)&lt;L$101,($B106*$H106),L$101)</f>
        <v>2.268028050837859</v>
      </c>
      <c r="M106" s="239">
        <f t="shared" si="48"/>
        <v>2.268028050837859</v>
      </c>
      <c r="N106" s="5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2"/>
      <c r="AC106" s="2"/>
      <c r="AD106" s="2"/>
      <c r="AE106" s="2"/>
      <c r="AF106" s="2"/>
      <c r="AG106" s="2"/>
    </row>
    <row r="107" spans="1:88" ht="14" customHeight="1">
      <c r="A107" s="64" t="s">
        <v>133</v>
      </c>
      <c r="B107" s="60">
        <f>B58/B$70</f>
        <v>1.7095313866025661</v>
      </c>
      <c r="C107" s="2"/>
      <c r="D107" s="24"/>
      <c r="H107" s="97">
        <f>(E58*F58/G$29*F$7/F$9)</f>
        <v>0.99107142857142871</v>
      </c>
      <c r="I107" s="29">
        <f>IF(SUMPRODUCT($B$106:$B107,$H$106:$H107)&lt;I$101,($B107*$H107),IF(SUMPRODUCT($B$106:$B106,$H$106:$H106)&lt;I$101,I$101-SUMPRODUCT($B$106:$B106,$H$106:$H106),0))</f>
        <v>1.6942677135079005</v>
      </c>
      <c r="J107" s="238">
        <f>IF(SUMPRODUCT($B$106:$B107,$H$106:$H107)&lt;J$101,($B107*$H107),IF(SUMPRODUCT($B$106:$B106,$H$106:$H106)&lt;J$101,J$101-SUMPRODUCT($B$106:$B106,$H$106:$H106),0))</f>
        <v>1.6942677135079005</v>
      </c>
      <c r="K107" s="29">
        <f>(B107)</f>
        <v>1.7095313866025661</v>
      </c>
      <c r="L107" s="29">
        <f>IF(SUMPRODUCT($B$106:$B107,$H$106:$H107)&lt;L$101,($B107*$H107),IF(SUMPRODUCT($B$106:$B106,$H$106:$H106)&lt;L$101,L$101-SUMPRODUCT($B$106:$B106,$H$106:$H106),0))</f>
        <v>1.6942677135079005</v>
      </c>
      <c r="M107" s="239">
        <f t="shared" si="48"/>
        <v>1.6942677135079005</v>
      </c>
      <c r="N107" s="58"/>
      <c r="Q107" s="2"/>
      <c r="R107" s="22"/>
      <c r="S107" s="2"/>
      <c r="T107" s="2"/>
      <c r="U107" s="2"/>
      <c r="V107" s="2"/>
      <c r="W107" s="2"/>
      <c r="X107" s="2"/>
      <c r="Y107" s="2"/>
      <c r="Z107" s="2"/>
      <c r="AA107" s="2"/>
      <c r="AB107" s="22"/>
      <c r="AC107" s="2"/>
      <c r="AD107" s="2"/>
      <c r="AE107" s="2"/>
      <c r="AF107" s="2"/>
      <c r="AG107" s="2"/>
    </row>
    <row r="108" spans="1:88" ht="14" customHeight="1">
      <c r="A108" s="64" t="s">
        <v>134</v>
      </c>
      <c r="B108" s="60">
        <f t="shared" ref="B108:B109" si="49">B59/B$70</f>
        <v>3.0444992376263431</v>
      </c>
      <c r="C108" s="2"/>
      <c r="D108" s="24"/>
      <c r="H108" s="97">
        <f t="shared" ref="H108:H109" si="50">(E59*F59/G$29*F$7/F$9)</f>
        <v>0.99107142857142871</v>
      </c>
      <c r="I108" s="29">
        <f>IF(SUMPRODUCT($B$106:$B108,$H$106:$H108)&lt;(I$101-I$110),($B108*$H108),IF(SUMPRODUCT($B$106:$B107,$H$106:$H107)&lt;(I$101-I$110),I$101-I$110-SUMPRODUCT($B$106:$B107,$H$106:$H107),0))</f>
        <v>0</v>
      </c>
      <c r="J108" s="238">
        <f>IF(SUMPRODUCT($B$106:$B108,$H$106:$H108)&lt;(J$101-J$110),($B108*$H108),IF(SUMPRODUCT($B$106:$B107,$H$106:$H107)&lt;(J$101-J$110),J$101-J$110-SUMPRODUCT($B$106:$B107,$H$106:$H107),0))</f>
        <v>3.0173162087189653</v>
      </c>
      <c r="K108" s="29">
        <f t="shared" ref="K108:K109" si="51">(B108)</f>
        <v>3.0444992376263431</v>
      </c>
      <c r="L108" s="29">
        <f>IF(SUMPRODUCT($B$106:$B108,$H$106:$H108)&lt;(L$101-L$110),($B108*$H108),IF(SUMPRODUCT($B$106:$B107,$H$106:$H107)&lt;(L$101-L$110),L$101-L$110-SUMPRODUCT($B$106:$B107,$H$106:$H107),0))</f>
        <v>3.0173162087189653</v>
      </c>
      <c r="M108" s="239">
        <f t="shared" si="48"/>
        <v>3.0173162087189653</v>
      </c>
      <c r="N108" s="58"/>
      <c r="Q108" s="2"/>
      <c r="R108" s="22"/>
      <c r="S108" s="2"/>
      <c r="T108" s="2"/>
      <c r="U108" s="2"/>
      <c r="V108" s="2"/>
      <c r="W108" s="2"/>
      <c r="X108" s="2"/>
      <c r="Y108" s="2"/>
      <c r="Z108" s="2"/>
      <c r="AA108" s="2"/>
      <c r="AB108" s="22"/>
      <c r="AC108" s="2"/>
      <c r="AD108" s="2"/>
      <c r="AE108" s="2"/>
      <c r="AF108" s="2"/>
      <c r="AG108" s="2"/>
    </row>
    <row r="109" spans="1:88" ht="14" customHeight="1">
      <c r="A109" s="64" t="s">
        <v>135</v>
      </c>
      <c r="B109" s="60">
        <f t="shared" si="49"/>
        <v>8.8279943291725793</v>
      </c>
      <c r="C109" s="2"/>
      <c r="D109" s="24"/>
      <c r="H109" s="97">
        <f t="shared" si="50"/>
        <v>0.99107142857142871</v>
      </c>
      <c r="I109" s="29">
        <f>IF(SUMPRODUCT($B$106:$B109,$H$106:$H109)&lt;(I$101-I$110),($B109*$H109),IF(SUMPRODUCT($B$106:$B108,$H$106:$H108)&lt;(I$101-I110),I$101-I$110-SUMPRODUCT($B$106:$B108,$H$106:$H108),0))</f>
        <v>0</v>
      </c>
      <c r="J109" s="238">
        <f>IF(SUMPRODUCT($B$106:$B109,$H$106:$H109)&lt;(J$101-J$110),($B109*$H109),IF(SUMPRODUCT($B$106:$B108,$H$106:$H108)&lt;(J$101-J110),J$101-J$110-SUMPRODUCT($B$106:$B108,$H$106:$H108),0))</f>
        <v>8.7491729512335397</v>
      </c>
      <c r="K109" s="29">
        <f t="shared" si="51"/>
        <v>8.8279943291725793</v>
      </c>
      <c r="L109" s="29">
        <f>IF(SUMPRODUCT($B$106:$B109,$H$106:$H109)&lt;(L$101-L$110),($B109*$H109),IF(SUMPRODUCT($B$106:$B108,$H$106:$H108)&lt;(L$101-L110),L$101-L$110-SUMPRODUCT($B$106:$B108,$H$106:$H108),0))</f>
        <v>8.7491729512335397</v>
      </c>
      <c r="M109" s="239">
        <f t="shared" si="48"/>
        <v>8.7491729512335397</v>
      </c>
      <c r="N109" s="58"/>
      <c r="Q109" s="2"/>
      <c r="R109" s="22"/>
      <c r="S109" s="2"/>
      <c r="T109" s="2"/>
      <c r="U109" s="2"/>
      <c r="V109" s="2"/>
      <c r="W109" s="2"/>
      <c r="X109" s="2"/>
      <c r="Y109" s="2"/>
      <c r="Z109" s="2"/>
      <c r="AA109" s="2"/>
      <c r="AB109" s="22"/>
      <c r="AC109" s="2"/>
      <c r="AD109" s="2"/>
      <c r="AE109" s="2"/>
      <c r="AF109" s="2"/>
      <c r="AG109" s="2"/>
    </row>
    <row r="110" spans="1:88" ht="14" customHeight="1">
      <c r="A110" s="56" t="s">
        <v>36</v>
      </c>
      <c r="B110" s="29">
        <f>(B22)</f>
        <v>0.53823582067247822</v>
      </c>
      <c r="C110" s="2"/>
      <c r="D110" s="31"/>
      <c r="E110" s="2"/>
      <c r="F110" s="2"/>
      <c r="G110" s="2"/>
      <c r="H110" s="24"/>
      <c r="I110" s="29">
        <f>(I22)</f>
        <v>52.7206406717549</v>
      </c>
      <c r="J110" s="232">
        <f>(J22)</f>
        <v>0.54747647845463776</v>
      </c>
      <c r="K110" s="29">
        <f>(B110)</f>
        <v>0.53823582067247822</v>
      </c>
      <c r="L110" s="29">
        <f>IF(L106=L101,0,(L101-L106)/(B101-B106)*K110)</f>
        <v>0.51262347020402865</v>
      </c>
      <c r="M110" s="239">
        <f t="shared" si="48"/>
        <v>0.54747647845463776</v>
      </c>
      <c r="N110" s="5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2"/>
      <c r="AC110" s="2"/>
      <c r="AD110" s="2"/>
      <c r="AE110" s="2"/>
      <c r="AF110" s="2"/>
      <c r="AG110" s="2"/>
    </row>
    <row r="111" spans="1:88" ht="14" customHeight="1">
      <c r="A111" s="56" t="s">
        <v>56</v>
      </c>
      <c r="B111" s="29">
        <f>(B112-B106-B107-B108-B109-B110)</f>
        <v>43.40250312620811</v>
      </c>
      <c r="C111" s="2"/>
      <c r="D111" s="31"/>
      <c r="E111" s="2"/>
      <c r="F111" s="2"/>
      <c r="G111" s="2"/>
      <c r="H111" s="24"/>
      <c r="I111" s="29"/>
      <c r="J111" s="232">
        <f>(J112-J106-J107-J108-J109-J110)</f>
        <v>40.780424413723402</v>
      </c>
      <c r="K111" s="29">
        <f>(B111)</f>
        <v>43.40250312620811</v>
      </c>
      <c r="L111" s="60">
        <f>(L112-L106-L107-L108-L109-L110)</f>
        <v>40.812120200404841</v>
      </c>
      <c r="M111" s="239">
        <f t="shared" si="48"/>
        <v>40.780424413723402</v>
      </c>
      <c r="N111" s="5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2"/>
      <c r="AC111" s="2"/>
      <c r="AD111" s="2"/>
      <c r="AE111" s="2"/>
      <c r="AF111" s="2"/>
      <c r="AG111" s="2"/>
    </row>
    <row r="112" spans="1:88" ht="14" customHeight="1">
      <c r="A112" s="56" t="s">
        <v>32</v>
      </c>
      <c r="B112" s="29">
        <f>(B101)</f>
        <v>59.75100198531576</v>
      </c>
      <c r="C112" s="2"/>
      <c r="D112" s="31"/>
      <c r="E112" s="2"/>
      <c r="F112" s="2"/>
      <c r="G112" s="2"/>
      <c r="H112" s="24"/>
      <c r="I112" s="29">
        <f>(I101)</f>
        <v>56.682936436100661</v>
      </c>
      <c r="J112" s="232">
        <f>(J101)</f>
        <v>57.056685816476303</v>
      </c>
      <c r="K112" s="29">
        <f>(B112)</f>
        <v>59.75100198531576</v>
      </c>
      <c r="L112" s="29">
        <f>(L101)</f>
        <v>57.053528594907128</v>
      </c>
      <c r="M112" s="239">
        <f t="shared" si="48"/>
        <v>57.056685816476303</v>
      </c>
      <c r="N112" s="5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2"/>
      <c r="AC112" s="2"/>
      <c r="AD112" s="2"/>
      <c r="AE112" s="2"/>
      <c r="AF112" s="2"/>
      <c r="AG112" s="2"/>
    </row>
    <row r="113" spans="1:33" ht="14" customHeight="1">
      <c r="A113" s="56" t="s">
        <v>37</v>
      </c>
      <c r="B113" s="29"/>
      <c r="C113" s="2"/>
      <c r="D113" s="31"/>
      <c r="E113" s="2"/>
      <c r="F113" s="2"/>
      <c r="G113" s="2"/>
      <c r="H113" s="24"/>
      <c r="I113" s="29">
        <f>IF(SUMPRODUCT($B106:$B109,$H106:$H109)&gt;(I101-I110),SUMPRODUCT($B106:$B109,$H106:$H109)+I110-I101,0)</f>
        <v>11.766489159952499</v>
      </c>
      <c r="J113" s="238">
        <f>IF(SUMPRODUCT($B106:$B109,$H106:$H109)&gt;(J101-J110),SUMPRODUCT($B106:$B109,$H106:$H109)+J110-J101,0)</f>
        <v>0</v>
      </c>
      <c r="K113" s="29"/>
      <c r="L113" s="29">
        <f>I113-(SUM(L108:L109))</f>
        <v>0</v>
      </c>
      <c r="M113" s="238">
        <f>I113-(SUM(M108:M109))</f>
        <v>0</v>
      </c>
      <c r="N113" s="5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2"/>
      <c r="AC113" s="2"/>
      <c r="AD113" s="2"/>
      <c r="AE113" s="2"/>
      <c r="AF113" s="2"/>
      <c r="AG113" s="2"/>
    </row>
    <row r="114" spans="1:33" ht="14" customHeight="1">
      <c r="A114" s="14"/>
      <c r="B114" s="14"/>
      <c r="C114" s="14"/>
      <c r="D114" s="12"/>
      <c r="E114" s="14"/>
      <c r="F114" s="14"/>
      <c r="G114" s="14"/>
      <c r="H114" s="12"/>
      <c r="I114" s="14"/>
      <c r="J114" s="12"/>
      <c r="K114" s="14"/>
      <c r="L114" s="14"/>
      <c r="M114" s="66"/>
      <c r="N114" s="58"/>
    </row>
    <row r="124" spans="1:33">
      <c r="A124" s="2"/>
      <c r="B124" s="2"/>
      <c r="C124" s="2"/>
      <c r="D124" s="2"/>
      <c r="E124" s="2"/>
      <c r="F124" s="2"/>
      <c r="G124" s="2"/>
      <c r="H124" s="2"/>
      <c r="I124" s="2"/>
      <c r="J124" s="2"/>
      <c r="L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1:33">
      <c r="B125" s="22"/>
      <c r="C125" s="22"/>
      <c r="D125" s="2"/>
      <c r="E125" s="2"/>
      <c r="F125" s="2"/>
      <c r="G125" s="2"/>
      <c r="H125" s="2"/>
      <c r="I125" s="22"/>
      <c r="J125" s="2"/>
      <c r="L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68"/>
      <c r="AC125" s="2"/>
      <c r="AD125" s="2"/>
      <c r="AE125" s="2"/>
      <c r="AF125" s="2"/>
      <c r="AG125" s="2"/>
    </row>
    <row r="126" spans="1:33">
      <c r="B126" s="22"/>
      <c r="C126" s="22"/>
      <c r="D126" s="2"/>
      <c r="E126" s="2"/>
      <c r="F126" s="2"/>
      <c r="G126" s="2"/>
      <c r="H126" s="2"/>
      <c r="I126" s="2"/>
      <c r="J126" s="2"/>
      <c r="L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68"/>
      <c r="AC126" s="2"/>
      <c r="AD126" s="2"/>
      <c r="AE126" s="2"/>
      <c r="AF126" s="2"/>
      <c r="AG126" s="2"/>
    </row>
    <row r="127" spans="1:33">
      <c r="B127" s="22"/>
      <c r="C127" s="22"/>
      <c r="D127" s="2"/>
      <c r="E127" s="2"/>
      <c r="F127" s="2"/>
      <c r="G127" s="2"/>
      <c r="H127" s="2"/>
      <c r="I127" s="22"/>
      <c r="J127" s="2"/>
      <c r="L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68"/>
      <c r="AC127" s="2"/>
      <c r="AD127" s="2"/>
      <c r="AE127" s="2"/>
      <c r="AF127" s="2"/>
      <c r="AG127" s="2"/>
    </row>
    <row r="128" spans="1:33">
      <c r="B128" s="2"/>
      <c r="C128" s="2"/>
      <c r="D128" s="2"/>
      <c r="E128" s="2"/>
      <c r="F128" s="2"/>
      <c r="G128" s="2"/>
      <c r="H128" s="2"/>
      <c r="I128" s="2"/>
      <c r="J128" s="2"/>
      <c r="L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68"/>
      <c r="AC128" s="2"/>
      <c r="AD128" s="2"/>
      <c r="AE128" s="2"/>
      <c r="AF128" s="2"/>
      <c r="AG128" s="2"/>
    </row>
    <row r="129" spans="1:33">
      <c r="B129" s="22"/>
      <c r="C129" s="22"/>
      <c r="D129" s="2"/>
      <c r="E129" s="2"/>
      <c r="F129" s="2"/>
      <c r="G129" s="2"/>
      <c r="H129" s="2"/>
      <c r="I129" s="2"/>
      <c r="J129" s="2"/>
      <c r="L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68"/>
      <c r="AC129" s="2"/>
      <c r="AD129" s="2"/>
      <c r="AE129" s="2"/>
      <c r="AF129" s="2"/>
      <c r="AG129" s="2"/>
    </row>
    <row r="130" spans="1:33">
      <c r="B130" s="22"/>
      <c r="C130" s="22"/>
      <c r="D130" s="2"/>
      <c r="E130" s="2"/>
      <c r="F130" s="2"/>
      <c r="G130" s="2"/>
      <c r="H130" s="2"/>
      <c r="I130" s="2"/>
      <c r="J130" s="2"/>
      <c r="L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68"/>
      <c r="AC130" s="2"/>
      <c r="AD130" s="2"/>
      <c r="AE130" s="2"/>
      <c r="AF130" s="2"/>
      <c r="AG130" s="2"/>
    </row>
    <row r="131" spans="1:33">
      <c r="B131" s="22"/>
      <c r="C131" s="22"/>
      <c r="D131" s="2"/>
      <c r="E131" s="2"/>
      <c r="F131" s="2"/>
      <c r="G131" s="2"/>
      <c r="H131" s="2"/>
      <c r="I131" s="2"/>
      <c r="J131" s="2"/>
      <c r="L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68"/>
      <c r="AC131" s="2"/>
      <c r="AD131" s="2"/>
      <c r="AE131" s="2"/>
      <c r="AF131" s="2"/>
      <c r="AG131" s="2"/>
    </row>
    <row r="132" spans="1:33">
      <c r="B132" s="22"/>
      <c r="C132" s="22"/>
      <c r="D132" s="2"/>
      <c r="E132" s="2"/>
      <c r="F132" s="2"/>
      <c r="G132" s="2"/>
      <c r="H132" s="2"/>
      <c r="I132" s="2"/>
      <c r="J132" s="2"/>
      <c r="L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68"/>
      <c r="AC132" s="2"/>
      <c r="AD132" s="2"/>
      <c r="AE132" s="2"/>
      <c r="AF132" s="2"/>
      <c r="AG132" s="2"/>
    </row>
    <row r="133" spans="1:33">
      <c r="B133" s="22"/>
      <c r="C133" s="22"/>
      <c r="D133" s="2"/>
      <c r="E133" s="2"/>
      <c r="F133" s="2"/>
      <c r="G133" s="2"/>
      <c r="H133" s="2"/>
      <c r="I133" s="2"/>
      <c r="J133" s="2"/>
      <c r="L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68"/>
      <c r="AC133" s="2"/>
      <c r="AD133" s="2"/>
      <c r="AE133" s="2"/>
      <c r="AF133" s="2"/>
      <c r="AG133" s="2"/>
    </row>
    <row r="134" spans="1:33">
      <c r="B134" s="22"/>
      <c r="C134" s="22"/>
      <c r="D134" s="2"/>
      <c r="E134" s="2"/>
      <c r="F134" s="2"/>
      <c r="G134" s="2"/>
      <c r="H134" s="2"/>
      <c r="I134" s="2"/>
      <c r="J134" s="2"/>
      <c r="L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68"/>
      <c r="AC134" s="2"/>
      <c r="AD134" s="2"/>
      <c r="AE134" s="2"/>
      <c r="AF134" s="2"/>
      <c r="AG134" s="2"/>
    </row>
    <row r="135" spans="1:33">
      <c r="A135" s="2"/>
      <c r="B135" s="2"/>
      <c r="C135" s="2"/>
      <c r="D135" s="2"/>
      <c r="E135" s="2"/>
      <c r="F135" s="2"/>
      <c r="G135" s="2"/>
      <c r="H135" s="2"/>
      <c r="I135" s="2"/>
      <c r="J135" s="2"/>
      <c r="L135" s="2"/>
      <c r="O135" s="2"/>
      <c r="P135" s="2"/>
      <c r="Q135" s="2"/>
      <c r="R135" s="2"/>
      <c r="S135" s="2"/>
      <c r="T135" s="2"/>
      <c r="U135" s="2"/>
      <c r="V135" s="2"/>
      <c r="W135" s="69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1:33">
      <c r="A136" s="3"/>
      <c r="B136" s="2"/>
      <c r="C136" s="2"/>
      <c r="D136" s="2"/>
      <c r="E136" s="2"/>
      <c r="F136" s="2"/>
      <c r="H136" s="2"/>
      <c r="I136" s="2"/>
      <c r="J136" s="2"/>
      <c r="L136" s="2"/>
      <c r="W136" s="71"/>
    </row>
    <row r="137" spans="1:33">
      <c r="A137" s="2"/>
      <c r="B137" s="2"/>
      <c r="C137" s="2"/>
      <c r="D137" s="2"/>
      <c r="E137" s="2"/>
      <c r="F137" s="2"/>
      <c r="H137" s="2"/>
      <c r="I137" s="2"/>
      <c r="J137" s="2"/>
      <c r="L137" s="2"/>
      <c r="W137" s="71"/>
    </row>
    <row r="138" spans="1:33">
      <c r="A138" s="2"/>
      <c r="B138" s="2"/>
      <c r="C138" s="2"/>
      <c r="D138" s="2"/>
      <c r="E138" s="2"/>
      <c r="F138" s="2"/>
      <c r="H138" s="2"/>
      <c r="I138" s="2"/>
      <c r="J138" s="2"/>
      <c r="L138" s="2"/>
      <c r="W138" s="71"/>
    </row>
    <row r="139" spans="1:33">
      <c r="A139" s="22"/>
      <c r="B139" s="2"/>
      <c r="C139" s="2"/>
      <c r="D139" s="2"/>
      <c r="E139" s="2"/>
      <c r="F139" s="2"/>
      <c r="H139" s="2"/>
      <c r="I139" s="2"/>
      <c r="J139" s="2"/>
      <c r="L139" s="2"/>
      <c r="W139" s="71"/>
    </row>
    <row r="140" spans="1:33">
      <c r="A140" s="2"/>
      <c r="B140" s="2"/>
      <c r="C140" s="2"/>
      <c r="D140" s="2"/>
      <c r="E140" s="2"/>
      <c r="F140" s="2"/>
      <c r="H140" s="2"/>
      <c r="I140" s="2"/>
      <c r="J140" s="2"/>
      <c r="L140" s="2"/>
      <c r="W140" s="71"/>
    </row>
    <row r="141" spans="1:33">
      <c r="A141" s="2"/>
      <c r="B141" s="2"/>
      <c r="C141" s="2"/>
      <c r="D141" s="2"/>
      <c r="E141" s="2"/>
      <c r="F141" s="2"/>
      <c r="H141" s="2"/>
      <c r="I141" s="2"/>
      <c r="J141" s="2"/>
      <c r="L141" s="2"/>
    </row>
    <row r="142" spans="1:33">
      <c r="A142" s="2"/>
      <c r="B142" s="2"/>
      <c r="C142" s="2"/>
      <c r="D142" s="2"/>
      <c r="E142" s="2"/>
      <c r="F142" s="2"/>
      <c r="H142" s="2"/>
      <c r="I142" s="2"/>
      <c r="J142" s="2"/>
      <c r="L142" s="2"/>
    </row>
    <row r="143" spans="1:33">
      <c r="A143" s="2"/>
      <c r="B143" s="2"/>
      <c r="C143" s="2"/>
      <c r="D143" s="2"/>
      <c r="E143" s="2"/>
      <c r="F143" s="2"/>
      <c r="H143" s="2"/>
      <c r="I143" s="2"/>
      <c r="J143" s="2"/>
      <c r="L143" s="2"/>
      <c r="AB143" s="71"/>
    </row>
    <row r="144" spans="1:33">
      <c r="A144" s="2"/>
      <c r="B144" s="2"/>
      <c r="C144" s="2"/>
      <c r="D144" s="2"/>
      <c r="E144" s="2"/>
      <c r="F144" s="2"/>
      <c r="H144" s="2"/>
      <c r="I144" s="2"/>
      <c r="J144" s="2"/>
      <c r="L144" s="2"/>
      <c r="AB144" s="71"/>
    </row>
    <row r="145" spans="1:28">
      <c r="A145" s="2"/>
      <c r="B145" s="2"/>
      <c r="C145" s="2"/>
      <c r="D145" s="2"/>
      <c r="E145" s="2"/>
      <c r="F145" s="2"/>
      <c r="H145" s="2"/>
      <c r="I145" s="2"/>
      <c r="J145" s="2"/>
      <c r="L145" s="2"/>
      <c r="AB145" s="71"/>
    </row>
    <row r="146" spans="1:28">
      <c r="A146" s="2"/>
      <c r="B146" s="2"/>
      <c r="C146" s="2"/>
      <c r="D146" s="2"/>
      <c r="E146" s="2"/>
      <c r="F146" s="2"/>
      <c r="H146" s="2"/>
      <c r="I146" s="2"/>
      <c r="J146" s="2"/>
      <c r="L146" s="2"/>
      <c r="AB146" s="71"/>
    </row>
    <row r="147" spans="1:28">
      <c r="A147" s="2"/>
      <c r="B147" s="2"/>
      <c r="C147" s="2"/>
      <c r="D147" s="2"/>
      <c r="E147" s="2"/>
      <c r="F147" s="2"/>
      <c r="H147" s="2"/>
      <c r="I147" s="2"/>
      <c r="J147" s="2"/>
      <c r="L147" s="2"/>
      <c r="W147" s="72"/>
      <c r="AB147" s="71"/>
    </row>
    <row r="148" spans="1:28">
      <c r="A148" s="2"/>
      <c r="B148" s="2"/>
      <c r="C148" s="2"/>
      <c r="D148" s="2"/>
      <c r="E148" s="2"/>
      <c r="F148" s="2"/>
      <c r="H148" s="2"/>
      <c r="I148" s="2"/>
      <c r="J148" s="2"/>
      <c r="L148" s="2"/>
      <c r="W148" s="72"/>
      <c r="AB148" s="71"/>
    </row>
    <row r="149" spans="1:28">
      <c r="A149" s="2"/>
      <c r="B149" s="2"/>
      <c r="C149" s="2"/>
      <c r="D149" s="2"/>
      <c r="E149" s="2"/>
      <c r="F149" s="2"/>
      <c r="H149" s="2"/>
      <c r="I149" s="2"/>
      <c r="J149" s="2"/>
      <c r="L149" s="2"/>
      <c r="AB149" s="71"/>
    </row>
    <row r="150" spans="1:28">
      <c r="A150" s="2"/>
      <c r="B150" s="2"/>
      <c r="C150" s="2"/>
      <c r="D150" s="2"/>
      <c r="E150" s="2"/>
      <c r="F150" s="2"/>
      <c r="H150" s="2"/>
      <c r="I150" s="2"/>
      <c r="J150" s="2"/>
      <c r="L150" s="2"/>
      <c r="AB150" s="71"/>
    </row>
    <row r="151" spans="1:28">
      <c r="A151" s="2"/>
      <c r="B151" s="2"/>
      <c r="C151" s="2"/>
      <c r="D151" s="2"/>
      <c r="E151" s="2"/>
      <c r="F151" s="2"/>
      <c r="H151" s="2"/>
      <c r="I151" s="2"/>
      <c r="J151" s="2"/>
      <c r="L151" s="2"/>
      <c r="AB151" s="71"/>
    </row>
    <row r="152" spans="1:28">
      <c r="A152" s="2"/>
      <c r="B152" s="2"/>
      <c r="C152" s="2"/>
      <c r="D152" s="2"/>
      <c r="E152" s="2"/>
      <c r="F152" s="2"/>
      <c r="H152" s="2"/>
      <c r="I152" s="2"/>
      <c r="J152" s="2"/>
      <c r="L152" s="2"/>
    </row>
    <row r="153" spans="1:28">
      <c r="A153" s="2"/>
      <c r="B153" s="2"/>
      <c r="C153" s="2"/>
      <c r="D153" s="2"/>
      <c r="E153" s="2"/>
      <c r="F153" s="2"/>
      <c r="H153" s="2"/>
      <c r="I153" s="2"/>
      <c r="J153" s="2"/>
      <c r="L153" s="2"/>
      <c r="W153" s="72"/>
      <c r="AB153" s="71"/>
    </row>
    <row r="154" spans="1:28">
      <c r="A154" s="2"/>
      <c r="B154" s="2"/>
      <c r="C154" s="2"/>
      <c r="D154" s="2"/>
      <c r="E154" s="2"/>
      <c r="F154" s="2"/>
      <c r="H154" s="2"/>
      <c r="I154" s="2"/>
      <c r="J154" s="2"/>
      <c r="L154" s="2"/>
      <c r="W154" s="72"/>
    </row>
    <row r="155" spans="1:28">
      <c r="A155" s="2"/>
      <c r="B155" s="2"/>
      <c r="C155" s="2"/>
      <c r="D155" s="2"/>
      <c r="E155" s="2"/>
      <c r="F155" s="2"/>
      <c r="H155" s="2"/>
      <c r="I155" s="2"/>
      <c r="J155" s="2"/>
      <c r="L155" s="2"/>
    </row>
    <row r="156" spans="1:28">
      <c r="A156" s="2"/>
      <c r="B156" s="2"/>
      <c r="C156" s="2"/>
      <c r="D156" s="2"/>
      <c r="E156" s="2"/>
      <c r="F156" s="2"/>
      <c r="H156" s="2"/>
      <c r="I156" s="2"/>
      <c r="J156" s="2"/>
      <c r="L156" s="2"/>
    </row>
    <row r="157" spans="1:28">
      <c r="A157" s="2"/>
      <c r="B157" s="2"/>
      <c r="C157" s="2"/>
      <c r="D157" s="2"/>
      <c r="E157" s="2"/>
      <c r="F157" s="2"/>
      <c r="H157" s="2"/>
      <c r="I157" s="2"/>
      <c r="J157" s="2"/>
      <c r="L157" s="2"/>
      <c r="AB157" s="71"/>
    </row>
    <row r="158" spans="1:28">
      <c r="A158" s="2"/>
      <c r="B158" s="2"/>
      <c r="C158" s="2"/>
      <c r="D158" s="2"/>
      <c r="E158" s="2"/>
      <c r="F158" s="2"/>
      <c r="H158" s="2"/>
      <c r="I158" s="2"/>
      <c r="J158" s="2"/>
      <c r="L158" s="2"/>
      <c r="AB158" s="71"/>
    </row>
    <row r="159" spans="1:28">
      <c r="A159" s="2"/>
      <c r="B159" s="2"/>
      <c r="C159" s="2"/>
      <c r="D159" s="2"/>
      <c r="E159" s="2"/>
      <c r="F159" s="2"/>
      <c r="H159" s="2"/>
      <c r="I159" s="2"/>
      <c r="J159" s="2"/>
      <c r="L159" s="2"/>
      <c r="W159" s="72"/>
      <c r="AB159" s="71"/>
    </row>
    <row r="160" spans="1:28">
      <c r="A160" s="2"/>
      <c r="B160" s="2"/>
      <c r="C160" s="2"/>
      <c r="D160" s="2"/>
      <c r="E160" s="2"/>
      <c r="F160" s="2"/>
      <c r="H160" s="2"/>
      <c r="I160" s="2"/>
      <c r="J160" s="2"/>
      <c r="L160" s="2"/>
      <c r="W160" s="72"/>
      <c r="AB160" s="71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</row>
    <row r="167" spans="1:28">
      <c r="AB167" s="71"/>
    </row>
    <row r="168" spans="1:28">
      <c r="AB168" s="71"/>
    </row>
    <row r="169" spans="1:28">
      <c r="AB169" s="71"/>
    </row>
    <row r="170" spans="1:28">
      <c r="AB170" s="71"/>
    </row>
    <row r="171" spans="1:28">
      <c r="W171" s="72"/>
      <c r="AB171" s="71"/>
    </row>
    <row r="172" spans="1:28">
      <c r="W172" s="72"/>
      <c r="AB172" s="71"/>
    </row>
    <row r="173" spans="1:28">
      <c r="W173" s="72"/>
    </row>
    <row r="175" spans="1:28">
      <c r="AB175" s="71"/>
    </row>
    <row r="176" spans="1:28">
      <c r="AB176" s="71"/>
    </row>
    <row r="177" spans="23:28">
      <c r="AB177" s="71"/>
    </row>
    <row r="178" spans="23:28">
      <c r="AB178" s="71"/>
    </row>
    <row r="179" spans="23:28">
      <c r="AB179" s="71"/>
    </row>
    <row r="180" spans="23:28">
      <c r="W180" s="72"/>
      <c r="AB180" s="71"/>
    </row>
    <row r="181" spans="23:28">
      <c r="W181" s="72"/>
    </row>
    <row r="182" spans="23:28">
      <c r="W182" s="72"/>
    </row>
    <row r="189" spans="23:28">
      <c r="W189" s="72"/>
    </row>
    <row r="190" spans="23:28">
      <c r="W190" s="72"/>
    </row>
    <row r="191" spans="23:28">
      <c r="W191" s="72"/>
    </row>
    <row r="201" spans="23:23">
      <c r="W201" s="72"/>
    </row>
    <row r="202" spans="23:23">
      <c r="W202" s="72"/>
    </row>
    <row r="203" spans="23:23">
      <c r="W203" s="72"/>
    </row>
    <row r="210" spans="23:23">
      <c r="W210" s="72"/>
    </row>
    <row r="211" spans="23:23">
      <c r="W211" s="72"/>
    </row>
    <row r="212" spans="23:23">
      <c r="W212" s="72"/>
    </row>
    <row r="219" spans="23:23">
      <c r="W219" s="72"/>
    </row>
    <row r="220" spans="23:23">
      <c r="W220" s="72"/>
    </row>
    <row r="221" spans="23:23">
      <c r="W221" s="72"/>
    </row>
    <row r="231" spans="23:23">
      <c r="W231" s="72"/>
    </row>
    <row r="232" spans="23:23">
      <c r="W232" s="72"/>
    </row>
    <row r="233" spans="23:23">
      <c r="W233" s="72"/>
    </row>
    <row r="240" spans="23:23">
      <c r="W240" s="72"/>
    </row>
    <row r="241" spans="23:23">
      <c r="W241" s="72"/>
    </row>
    <row r="242" spans="23:23">
      <c r="W242" s="72"/>
    </row>
    <row r="249" spans="23:23">
      <c r="W249" s="72"/>
    </row>
    <row r="250" spans="23:23">
      <c r="W250" s="72"/>
    </row>
    <row r="251" spans="23:23">
      <c r="W251" s="72"/>
    </row>
  </sheetData>
  <sheetProtection sheet="1" objects="1" scenarios="1" formatCells="0" formatColumns="0" formatRow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19" val="1" numFmtId="9"/>
      <inputCells r="E20" val="1" numFmtId="9"/>
      <inputCells r="E21" val="1" numFmtId="9"/>
      <inputCells r="E32" val="1" numFmtId="9"/>
      <inputCells r="E36" val="1" numFmtId="9"/>
      <inputCells r="E37" val="1" numFmtId="9"/>
      <inputCells r="E38" val="1" numFmtId="9"/>
      <inputCells r="E51" val="1" numFmtId="9"/>
      <inputCells r="F30" val="1" numFmtId="9"/>
      <inputCells r="F31" val="2" numFmtId="9"/>
      <inputCells r="F32" val="1.25" numFmtId="9"/>
      <inputCells r="F36" val="1" numFmtId="9"/>
      <inputCells r="F37" val="0.4" numFmtId="9"/>
      <inputCells r="F38" val="1" numFmtId="9"/>
      <inputCells r="F51" val="1" numFmtId="9"/>
      <inputCells r="F29" val="2.5" numFmtId="9"/>
      <inputCells r="G29" val="2" numFmtId="9"/>
      <inputCells r="F57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19" val="1" numFmtId="9"/>
      <inputCells r="E20" val="1" numFmtId="9"/>
      <inputCells r="E21" val="1" numFmtId="9"/>
      <inputCells r="E32" val="1" numFmtId="9"/>
      <inputCells r="E36" val="1" numFmtId="9"/>
      <inputCells r="E37" val="1" numFmtId="9"/>
      <inputCells r="E38" val="1" numFmtId="9"/>
      <inputCells r="E51" val="1" numFmtId="9"/>
      <inputCells r="F29" val="1" numFmtId="9"/>
      <inputCells r="F30" val="1" numFmtId="9"/>
      <inputCells r="F31" val="1" numFmtId="9"/>
      <inputCells r="F32" val="1" numFmtId="9"/>
      <inputCells r="F36" val="1" numFmtId="9"/>
      <inputCells r="F37" val="1" numFmtId="9"/>
      <inputCells r="F38" val="1" numFmtId="9"/>
      <inputCells r="F51" val="1" numFmtId="9"/>
      <inputCells r="G29" val="1" numFmtId="9"/>
      <inputCells r="F57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5" priority="113" operator="equal">
      <formula>16</formula>
    </cfRule>
    <cfRule type="cellIs" dxfId="94" priority="114" operator="equal">
      <formula>15</formula>
    </cfRule>
    <cfRule type="cellIs" dxfId="93" priority="115" operator="equal">
      <formula>14</formula>
    </cfRule>
    <cfRule type="cellIs" dxfId="92" priority="116" operator="equal">
      <formula>13</formula>
    </cfRule>
    <cfRule type="cellIs" dxfId="91" priority="117" operator="equal">
      <formula>12</formula>
    </cfRule>
    <cfRule type="cellIs" dxfId="90" priority="118" operator="equal">
      <formula>11</formula>
    </cfRule>
    <cfRule type="cellIs" dxfId="89" priority="119" operator="equal">
      <formula>10</formula>
    </cfRule>
    <cfRule type="cellIs" dxfId="88" priority="120" operator="equal">
      <formula>9</formula>
    </cfRule>
    <cfRule type="cellIs" dxfId="87" priority="121" operator="equal">
      <formula>8</formula>
    </cfRule>
    <cfRule type="cellIs" dxfId="86" priority="122" operator="equal">
      <formula>7</formula>
    </cfRule>
    <cfRule type="cellIs" dxfId="85" priority="123" operator="equal">
      <formula>6</formula>
    </cfRule>
    <cfRule type="cellIs" dxfId="84" priority="124" operator="equal">
      <formula>5</formula>
    </cfRule>
    <cfRule type="cellIs" dxfId="83" priority="125" operator="equal">
      <formula>4</formula>
    </cfRule>
    <cfRule type="cellIs" dxfId="82" priority="126" operator="equal">
      <formula>3</formula>
    </cfRule>
    <cfRule type="cellIs" dxfId="81" priority="127" operator="equal">
      <formula>2</formula>
    </cfRule>
    <cfRule type="cellIs" dxfId="80" priority="128" operator="equal">
      <formula>1</formula>
    </cfRule>
  </conditionalFormatting>
  <conditionalFormatting sqref="N21">
    <cfRule type="cellIs" dxfId="79" priority="97" operator="equal">
      <formula>16</formula>
    </cfRule>
    <cfRule type="cellIs" dxfId="78" priority="98" operator="equal">
      <formula>15</formula>
    </cfRule>
    <cfRule type="cellIs" dxfId="77" priority="99" operator="equal">
      <formula>14</formula>
    </cfRule>
    <cfRule type="cellIs" dxfId="76" priority="100" operator="equal">
      <formula>13</formula>
    </cfRule>
    <cfRule type="cellIs" dxfId="75" priority="101" operator="equal">
      <formula>12</formula>
    </cfRule>
    <cfRule type="cellIs" dxfId="74" priority="102" operator="equal">
      <formula>11</formula>
    </cfRule>
    <cfRule type="cellIs" dxfId="73" priority="103" operator="equal">
      <formula>10</formula>
    </cfRule>
    <cfRule type="cellIs" dxfId="72" priority="104" operator="equal">
      <formula>9</formula>
    </cfRule>
    <cfRule type="cellIs" dxfId="71" priority="105" operator="equal">
      <formula>8</formula>
    </cfRule>
    <cfRule type="cellIs" dxfId="70" priority="106" operator="equal">
      <formula>7</formula>
    </cfRule>
    <cfRule type="cellIs" dxfId="69" priority="107" operator="equal">
      <formula>6</formula>
    </cfRule>
    <cfRule type="cellIs" dxfId="68" priority="108" operator="equal">
      <formula>5</formula>
    </cfRule>
    <cfRule type="cellIs" dxfId="67" priority="109" operator="equal">
      <formula>4</formula>
    </cfRule>
    <cfRule type="cellIs" dxfId="66" priority="110" operator="equal">
      <formula>3</formula>
    </cfRule>
    <cfRule type="cellIs" dxfId="65" priority="111" operator="equal">
      <formula>2</formula>
    </cfRule>
    <cfRule type="cellIs" dxfId="64" priority="112" operator="equal">
      <formula>1</formula>
    </cfRule>
  </conditionalFormatting>
  <conditionalFormatting sqref="N95:N100">
    <cfRule type="cellIs" dxfId="63" priority="49" operator="equal">
      <formula>16</formula>
    </cfRule>
    <cfRule type="cellIs" dxfId="62" priority="50" operator="equal">
      <formula>15</formula>
    </cfRule>
    <cfRule type="cellIs" dxfId="61" priority="51" operator="equal">
      <formula>14</formula>
    </cfRule>
    <cfRule type="cellIs" dxfId="60" priority="52" operator="equal">
      <formula>13</formula>
    </cfRule>
    <cfRule type="cellIs" dxfId="59" priority="53" operator="equal">
      <formula>12</formula>
    </cfRule>
    <cfRule type="cellIs" dxfId="58" priority="54" operator="equal">
      <formula>11</formula>
    </cfRule>
    <cfRule type="cellIs" dxfId="57" priority="55" operator="equal">
      <formula>10</formula>
    </cfRule>
    <cfRule type="cellIs" dxfId="56" priority="56" operator="equal">
      <formula>9</formula>
    </cfRule>
    <cfRule type="cellIs" dxfId="55" priority="57" operator="equal">
      <formula>8</formula>
    </cfRule>
    <cfRule type="cellIs" dxfId="54" priority="58" operator="equal">
      <formula>7</formula>
    </cfRule>
    <cfRule type="cellIs" dxfId="53" priority="59" operator="equal">
      <formula>6</formula>
    </cfRule>
    <cfRule type="cellIs" dxfId="52" priority="60" operator="equal">
      <formula>5</formula>
    </cfRule>
    <cfRule type="cellIs" dxfId="51" priority="61" operator="equal">
      <formula>4</formula>
    </cfRule>
    <cfRule type="cellIs" dxfId="50" priority="62" operator="equal">
      <formula>3</formula>
    </cfRule>
    <cfRule type="cellIs" dxfId="49" priority="63" operator="equal">
      <formula>2</formula>
    </cfRule>
    <cfRule type="cellIs" dxfId="48" priority="64" operator="equal">
      <formula>1</formula>
    </cfRule>
  </conditionalFormatting>
  <conditionalFormatting sqref="N6:N20">
    <cfRule type="cellIs" dxfId="47" priority="33" operator="equal">
      <formula>16</formula>
    </cfRule>
    <cfRule type="cellIs" dxfId="46" priority="34" operator="equal">
      <formula>15</formula>
    </cfRule>
    <cfRule type="cellIs" dxfId="45" priority="35" operator="equal">
      <formula>14</formula>
    </cfRule>
    <cfRule type="cellIs" dxfId="44" priority="36" operator="equal">
      <formula>13</formula>
    </cfRule>
    <cfRule type="cellIs" dxfId="43" priority="37" operator="equal">
      <formula>12</formula>
    </cfRule>
    <cfRule type="cellIs" dxfId="42" priority="38" operator="equal">
      <formula>11</formula>
    </cfRule>
    <cfRule type="cellIs" dxfId="41" priority="39" operator="equal">
      <formula>10</formula>
    </cfRule>
    <cfRule type="cellIs" dxfId="40" priority="40" operator="equal">
      <formula>9</formula>
    </cfRule>
    <cfRule type="cellIs" dxfId="39" priority="41" operator="equal">
      <formula>8</formula>
    </cfRule>
    <cfRule type="cellIs" dxfId="38" priority="42" operator="equal">
      <formula>7</formula>
    </cfRule>
    <cfRule type="cellIs" dxfId="37" priority="43" operator="equal">
      <formula>6</formula>
    </cfRule>
    <cfRule type="cellIs" dxfId="36" priority="44" operator="equal">
      <formula>5</formula>
    </cfRule>
    <cfRule type="cellIs" dxfId="35" priority="45" operator="equal">
      <formula>4</formula>
    </cfRule>
    <cfRule type="cellIs" dxfId="34" priority="46" operator="equal">
      <formula>3</formula>
    </cfRule>
    <cfRule type="cellIs" dxfId="33" priority="47" operator="equal">
      <formula>2</formula>
    </cfRule>
    <cfRule type="cellIs" dxfId="32" priority="48" operator="equal">
      <formula>1</formula>
    </cfRule>
  </conditionalFormatting>
  <conditionalFormatting sqref="N78:N91">
    <cfRule type="cellIs" dxfId="31" priority="17" operator="equal">
      <formula>16</formula>
    </cfRule>
    <cfRule type="cellIs" dxfId="30" priority="18" operator="equal">
      <formula>15</formula>
    </cfRule>
    <cfRule type="cellIs" dxfId="29" priority="19" operator="equal">
      <formula>14</formula>
    </cfRule>
    <cfRule type="cellIs" dxfId="28" priority="20" operator="equal">
      <formula>13</formula>
    </cfRule>
    <cfRule type="cellIs" dxfId="27" priority="21" operator="equal">
      <formula>12</formula>
    </cfRule>
    <cfRule type="cellIs" dxfId="26" priority="22" operator="equal">
      <formula>11</formula>
    </cfRule>
    <cfRule type="cellIs" dxfId="25" priority="23" operator="equal">
      <formula>10</formula>
    </cfRule>
    <cfRule type="cellIs" dxfId="24" priority="24" operator="equal">
      <formula>9</formula>
    </cfRule>
    <cfRule type="cellIs" dxfId="23" priority="25" operator="equal">
      <formula>8</formula>
    </cfRule>
    <cfRule type="cellIs" dxfId="22" priority="26" operator="equal">
      <formula>7</formula>
    </cfRule>
    <cfRule type="cellIs" dxfId="21" priority="27" operator="equal">
      <formula>6</formula>
    </cfRule>
    <cfRule type="cellIs" dxfId="20" priority="28" operator="equal">
      <formula>5</formula>
    </cfRule>
    <cfRule type="cellIs" dxfId="19" priority="29" operator="equal">
      <formula>4</formula>
    </cfRule>
    <cfRule type="cellIs" dxfId="18" priority="30" operator="equal">
      <formula>3</formula>
    </cfRule>
    <cfRule type="cellIs" dxfId="17" priority="31" operator="equal">
      <formula>2</formula>
    </cfRule>
    <cfRule type="cellIs" dxfId="16" priority="32" operator="equal">
      <formula>1</formula>
    </cfRule>
  </conditionalFormatting>
  <conditionalFormatting sqref="N92:N94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C53" sqref="C53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8"/>
      <c r="G2" s="89"/>
      <c r="H2" s="89"/>
      <c r="I2" s="89"/>
      <c r="J2" s="89"/>
      <c r="K2" s="260" t="str">
        <f>Poor!A1</f>
        <v>ZANOC</v>
      </c>
      <c r="L2" s="260"/>
      <c r="M2" s="260"/>
      <c r="N2" s="260"/>
      <c r="O2" s="260"/>
      <c r="P2" s="260"/>
      <c r="Q2" s="260"/>
      <c r="R2" s="87"/>
      <c r="S2" s="87"/>
      <c r="T2" s="87"/>
      <c r="U2" s="87"/>
      <c r="V2" s="87"/>
    </row>
    <row r="3" spans="1:22" s="93" customFormat="1" ht="17">
      <c r="A3" s="90"/>
      <c r="B3" s="261" t="str">
        <f>V.Poor!A3</f>
        <v>Sources of Food : Very Poor HHs</v>
      </c>
      <c r="C3" s="262"/>
      <c r="D3" s="262"/>
      <c r="E3" s="262"/>
      <c r="F3" s="92"/>
      <c r="G3" s="259" t="str">
        <f>Poor!A3</f>
        <v>Sources of Food : Poor HHs</v>
      </c>
      <c r="H3" s="259"/>
      <c r="I3" s="259"/>
      <c r="J3" s="259"/>
      <c r="K3" s="89"/>
      <c r="L3" s="259" t="str">
        <f>Middle!A3</f>
        <v>Sources of Food : Middle HHs</v>
      </c>
      <c r="M3" s="259"/>
      <c r="N3" s="259"/>
      <c r="O3" s="259"/>
      <c r="P3" s="259"/>
      <c r="Q3" s="91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A74" zoomScale="125" zoomScaleNormal="125" zoomScalePageLayoutView="125" workbookViewId="0">
      <selection activeCell="G101" sqref="G101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0" t="str">
        <f>Poor!A1</f>
        <v>ZANOC</v>
      </c>
      <c r="L2" s="260"/>
      <c r="M2" s="260"/>
      <c r="N2" s="260"/>
      <c r="O2" s="260"/>
      <c r="P2" s="260"/>
      <c r="Q2" s="260"/>
      <c r="R2" s="87"/>
      <c r="S2" s="87"/>
      <c r="T2" s="87"/>
      <c r="U2" s="87"/>
      <c r="V2" s="87"/>
    </row>
    <row r="3" spans="1:22" s="93" customFormat="1" ht="17">
      <c r="A3" s="90"/>
      <c r="B3" s="89"/>
      <c r="C3" s="261" t="str">
        <f>V.Poor!A26</f>
        <v>Income : Very Poor HHs</v>
      </c>
      <c r="D3" s="261"/>
      <c r="E3" s="261"/>
      <c r="F3" s="90"/>
      <c r="G3" s="259" t="str">
        <f>Poor!A26</f>
        <v>Income : Poor HHs</v>
      </c>
      <c r="H3" s="259"/>
      <c r="I3" s="259"/>
      <c r="J3" s="259"/>
      <c r="K3" s="89"/>
      <c r="L3" s="259" t="str">
        <f>Middle!A26</f>
        <v>Income : Middle HHs</v>
      </c>
      <c r="M3" s="259"/>
      <c r="N3" s="259"/>
      <c r="O3" s="259"/>
      <c r="P3" s="259"/>
      <c r="Q3" s="91"/>
      <c r="R3" s="259" t="str">
        <f>Rich!A26</f>
        <v>Income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69" t="s">
        <v>89</v>
      </c>
      <c r="C71" s="169" t="s">
        <v>90</v>
      </c>
      <c r="D71" s="169" t="s">
        <v>91</v>
      </c>
      <c r="E71" s="169" t="s">
        <v>92</v>
      </c>
      <c r="F71" s="169" t="s">
        <v>93</v>
      </c>
      <c r="G71" s="169" t="s">
        <v>94</v>
      </c>
      <c r="H71" s="169" t="s">
        <v>95</v>
      </c>
      <c r="I71" s="169" t="s">
        <v>96</v>
      </c>
    </row>
    <row r="72" spans="1:9">
      <c r="A72" t="str">
        <f>V.Poor!Q7</f>
        <v>Own crops Consumed</v>
      </c>
      <c r="B72" s="108">
        <f>V.Poor!R7</f>
        <v>344.95269483095262</v>
      </c>
      <c r="C72" s="108">
        <f>Poor!R7</f>
        <v>2652.6387558213746</v>
      </c>
      <c r="D72" s="108">
        <f>Middle!R7</f>
        <v>4103.3979227532782</v>
      </c>
      <c r="E72" s="108">
        <f>Rich!R7</f>
        <v>3942.9259229559671</v>
      </c>
      <c r="F72" s="108">
        <f>V.Poor!T7</f>
        <v>344.95269483095262</v>
      </c>
      <c r="G72" s="108">
        <f>Poor!T7</f>
        <v>2652.6387558213746</v>
      </c>
      <c r="H72" s="108">
        <f>Middle!T7</f>
        <v>4103.3979227532782</v>
      </c>
      <c r="I72" s="108">
        <f>Rich!T7</f>
        <v>3883.6803559907703</v>
      </c>
    </row>
    <row r="73" spans="1:9">
      <c r="A73" t="str">
        <f>V.Poor!Q8</f>
        <v>Own crops sold</v>
      </c>
      <c r="B73" s="108">
        <f>V.Poor!R8</f>
        <v>0</v>
      </c>
      <c r="C73" s="108">
        <f>Poor!R8</f>
        <v>0</v>
      </c>
      <c r="D73" s="108">
        <f>Middle!R8</f>
        <v>0</v>
      </c>
      <c r="E73" s="108">
        <f>Rich!R8</f>
        <v>4838.3999999999996</v>
      </c>
      <c r="F73" s="108">
        <f>V.Poor!T8</f>
        <v>0</v>
      </c>
      <c r="G73" s="108">
        <f>Poor!T8</f>
        <v>0</v>
      </c>
      <c r="H73" s="108">
        <f>Middle!T8</f>
        <v>0</v>
      </c>
      <c r="I73" s="108">
        <f>Rich!T8</f>
        <v>4443.9398690766129</v>
      </c>
    </row>
    <row r="74" spans="1:9">
      <c r="A74" t="str">
        <f>V.Poor!Q9</f>
        <v>Animal products consumed</v>
      </c>
      <c r="B74" s="108">
        <f>V.Poor!R9</f>
        <v>0</v>
      </c>
      <c r="C74" s="108">
        <f>Poor!R9</f>
        <v>166.87229187021356</v>
      </c>
      <c r="D74" s="108">
        <f>Middle!R9</f>
        <v>445.51575406420721</v>
      </c>
      <c r="E74" s="108">
        <f>Rich!R9</f>
        <v>1349.2615307145268</v>
      </c>
      <c r="F74" s="108">
        <f>V.Poor!T9</f>
        <v>0</v>
      </c>
      <c r="G74" s="108">
        <f>Poor!T9</f>
        <v>166.87229187021356</v>
      </c>
      <c r="H74" s="108">
        <f>Middle!T9</f>
        <v>445.51575406420721</v>
      </c>
      <c r="I74" s="108">
        <f>Rich!T9</f>
        <v>1349.2615307145268</v>
      </c>
    </row>
    <row r="75" spans="1:9">
      <c r="A75" t="str">
        <f>V.Poor!Q10</f>
        <v>Animal products sold</v>
      </c>
      <c r="B75" s="108">
        <f>V.Poor!R10</f>
        <v>0</v>
      </c>
      <c r="C75" s="108">
        <f>Poor!R10</f>
        <v>0</v>
      </c>
      <c r="D75" s="108">
        <f>Middle!R10</f>
        <v>0</v>
      </c>
      <c r="E75" s="108">
        <f>Rich!R10</f>
        <v>0</v>
      </c>
      <c r="F75" s="108">
        <f>V.Poor!T10</f>
        <v>0</v>
      </c>
      <c r="G75" s="108">
        <f>Poor!T10</f>
        <v>0</v>
      </c>
      <c r="H75" s="108">
        <f>Middle!T10</f>
        <v>0</v>
      </c>
      <c r="I75" s="108">
        <f>Rich!T10</f>
        <v>0</v>
      </c>
    </row>
    <row r="76" spans="1:9">
      <c r="A76" t="str">
        <f>V.Poor!Q11</f>
        <v>Animals sold</v>
      </c>
      <c r="B76" s="108">
        <f>V.Poor!R11</f>
        <v>0</v>
      </c>
      <c r="C76" s="108">
        <f>Poor!R11</f>
        <v>4065.6</v>
      </c>
      <c r="D76" s="108">
        <f>Middle!R11</f>
        <v>11872.000000000002</v>
      </c>
      <c r="E76" s="108">
        <f>Rich!R11</f>
        <v>23654.400000000005</v>
      </c>
      <c r="F76" s="108">
        <f>V.Poor!T11</f>
        <v>0</v>
      </c>
      <c r="G76" s="108">
        <f>Poor!T11</f>
        <v>4016.7000000000007</v>
      </c>
      <c r="H76" s="108">
        <f>Middle!T11</f>
        <v>11720.389111872573</v>
      </c>
      <c r="I76" s="108">
        <f>Rich!T11</f>
        <v>23295.427955132844</v>
      </c>
    </row>
    <row r="77" spans="1:9">
      <c r="A77" t="str">
        <f>V.Poor!Q12</f>
        <v>Wild foods consumed and sold</v>
      </c>
      <c r="B77" s="108">
        <f>V.Poor!R12</f>
        <v>0</v>
      </c>
      <c r="C77" s="108">
        <f>Poor!R12</f>
        <v>0</v>
      </c>
      <c r="D77" s="108">
        <f>Middle!R12</f>
        <v>0</v>
      </c>
      <c r="E77" s="108">
        <f>Rich!R12</f>
        <v>0</v>
      </c>
      <c r="F77" s="108">
        <f>V.Poor!T12</f>
        <v>903.71462639487322</v>
      </c>
      <c r="G77" s="108">
        <f>Poor!T12</f>
        <v>906.19104399145556</v>
      </c>
      <c r="H77" s="108">
        <f>Middle!T12</f>
        <v>0</v>
      </c>
      <c r="I77" s="108">
        <f>Rich!T12</f>
        <v>0</v>
      </c>
    </row>
    <row r="78" spans="1:9">
      <c r="A78" t="str">
        <f>V.Poor!Q13</f>
        <v>Labour - casual</v>
      </c>
      <c r="B78" s="108">
        <f>V.Poor!R13</f>
        <v>9858.2400000000016</v>
      </c>
      <c r="C78" s="108">
        <f>Poor!R13</f>
        <v>14464.800000000003</v>
      </c>
      <c r="D78" s="108">
        <f>Middle!R13</f>
        <v>840</v>
      </c>
      <c r="E78" s="108">
        <f>Rich!R13</f>
        <v>0</v>
      </c>
      <c r="F78" s="108">
        <f>V.Poor!T13</f>
        <v>9138.2850000000017</v>
      </c>
      <c r="G78" s="108">
        <f>Poor!T13</f>
        <v>13229.467500000004</v>
      </c>
      <c r="H78" s="108">
        <f>Middle!T13</f>
        <v>724.27500000000009</v>
      </c>
      <c r="I78" s="108">
        <f>Rich!T13</f>
        <v>0</v>
      </c>
    </row>
    <row r="79" spans="1:9">
      <c r="A79" t="str">
        <f>V.Poor!Q14</f>
        <v>Labour - formal emp</v>
      </c>
      <c r="B79" s="108">
        <f>V.Poor!R14</f>
        <v>0</v>
      </c>
      <c r="C79" s="108">
        <f>Poor!R14</f>
        <v>0</v>
      </c>
      <c r="D79" s="108">
        <f>Middle!R14</f>
        <v>89376.000000000015</v>
      </c>
      <c r="E79" s="108">
        <f>Rich!R14</f>
        <v>354816</v>
      </c>
      <c r="F79" s="108">
        <f>V.Poor!T14</f>
        <v>0</v>
      </c>
      <c r="G79" s="108">
        <f>Poor!T14</f>
        <v>0</v>
      </c>
      <c r="H79" s="108">
        <f>Middle!T14</f>
        <v>85386</v>
      </c>
      <c r="I79" s="108">
        <f>Rich!T14</f>
        <v>338976</v>
      </c>
    </row>
    <row r="80" spans="1:9">
      <c r="A80" t="str">
        <f>V.Poor!Q15</f>
        <v>Labour - public works</v>
      </c>
      <c r="B80" s="108">
        <f>V.Poor!R15</f>
        <v>0</v>
      </c>
      <c r="C80" s="108">
        <f>Poor!R15</f>
        <v>0</v>
      </c>
      <c r="D80" s="108">
        <f>Middle!R15</f>
        <v>0</v>
      </c>
      <c r="E80" s="108">
        <f>Rich!R15</f>
        <v>0</v>
      </c>
      <c r="F80" s="108">
        <f>V.Poor!T15</f>
        <v>0</v>
      </c>
      <c r="G80" s="108">
        <f>Poor!T15</f>
        <v>0</v>
      </c>
      <c r="H80" s="108">
        <f>Middle!T15</f>
        <v>0</v>
      </c>
      <c r="I80" s="108">
        <f>Rich!T15</f>
        <v>0</v>
      </c>
    </row>
    <row r="81" spans="1:9">
      <c r="A81" t="str">
        <f>V.Poor!Q16</f>
        <v>Self - employment</v>
      </c>
      <c r="B81" s="108">
        <f>V.Poor!R16</f>
        <v>6773.76</v>
      </c>
      <c r="C81" s="108">
        <f>Poor!R16</f>
        <v>5644.8</v>
      </c>
      <c r="D81" s="108">
        <f>Middle!R16</f>
        <v>34182.400000000001</v>
      </c>
      <c r="E81" s="108">
        <f>Rich!R16</f>
        <v>0</v>
      </c>
      <c r="F81" s="108">
        <f>V.Poor!T16</f>
        <v>7983.3600000000006</v>
      </c>
      <c r="G81" s="108">
        <f>Poor!T16</f>
        <v>6652.800000000002</v>
      </c>
      <c r="H81" s="108">
        <f>Middle!T16</f>
        <v>33362.392322837586</v>
      </c>
      <c r="I81" s="108">
        <f>Rich!T16</f>
        <v>0</v>
      </c>
    </row>
    <row r="82" spans="1:9">
      <c r="A82" t="str">
        <f>V.Poor!Q17</f>
        <v>Small business/petty trading</v>
      </c>
      <c r="B82" s="108">
        <f>V.Poor!R17</f>
        <v>0</v>
      </c>
      <c r="C82" s="108">
        <f>Poor!R17</f>
        <v>4032.0000000000005</v>
      </c>
      <c r="D82" s="108">
        <f>Middle!R17</f>
        <v>6854.4000000000005</v>
      </c>
      <c r="E82" s="108">
        <f>Rich!R17</f>
        <v>62899.200000000012</v>
      </c>
      <c r="F82" s="108">
        <f>V.Poor!T17</f>
        <v>0</v>
      </c>
      <c r="G82" s="108">
        <f>Poor!T17</f>
        <v>3780.0000000000005</v>
      </c>
      <c r="H82" s="108">
        <f>Middle!T17</f>
        <v>6426</v>
      </c>
      <c r="I82" s="108">
        <f>Rich!T17</f>
        <v>58968.000000000015</v>
      </c>
    </row>
    <row r="83" spans="1:9">
      <c r="A83" t="str">
        <f>V.Poor!Q18</f>
        <v>Food transfer - official</v>
      </c>
      <c r="B83" s="108">
        <f>V.Poor!R18</f>
        <v>0</v>
      </c>
      <c r="C83" s="108">
        <f>Poor!R18</f>
        <v>19.756243093922656</v>
      </c>
      <c r="D83" s="108">
        <f>Middle!R18</f>
        <v>19.756243093922656</v>
      </c>
      <c r="E83" s="108">
        <f>Rich!R18</f>
        <v>23.707491712707188</v>
      </c>
      <c r="F83" s="108">
        <f>V.Poor!T18</f>
        <v>0</v>
      </c>
      <c r="G83" s="108">
        <f>Poor!T18</f>
        <v>0</v>
      </c>
      <c r="H83" s="108">
        <f>Middle!T18</f>
        <v>20.372986246605436</v>
      </c>
      <c r="I83" s="108">
        <f>Rich!T18</f>
        <v>23.909465236452178</v>
      </c>
    </row>
    <row r="84" spans="1:9">
      <c r="A84" t="str">
        <f>V.Poor!Q19</f>
        <v>Food transfer - gifts</v>
      </c>
      <c r="B84" s="108">
        <f>V.Poor!R19</f>
        <v>0</v>
      </c>
      <c r="C84" s="108">
        <f>Poor!R19</f>
        <v>0</v>
      </c>
      <c r="D84" s="108">
        <f>Middle!R19</f>
        <v>0</v>
      </c>
      <c r="E84" s="108">
        <f>Rich!R19</f>
        <v>0</v>
      </c>
      <c r="F84" s="108">
        <f>V.Poor!T19</f>
        <v>0</v>
      </c>
      <c r="G84" s="108">
        <f>Poor!T19</f>
        <v>0</v>
      </c>
      <c r="H84" s="108">
        <f>Middle!T19</f>
        <v>0</v>
      </c>
      <c r="I84" s="108">
        <f>Rich!T19</f>
        <v>0</v>
      </c>
    </row>
    <row r="85" spans="1:9">
      <c r="A85" t="str">
        <f>V.Poor!Q20</f>
        <v>Cash transfer - official</v>
      </c>
      <c r="B85" s="108">
        <f>V.Poor!R20</f>
        <v>22976.775588491721</v>
      </c>
      <c r="C85" s="108">
        <f>Poor!R20</f>
        <v>20817.060156931126</v>
      </c>
      <c r="D85" s="108">
        <f>Middle!R20</f>
        <v>9310.4516129032272</v>
      </c>
      <c r="E85" s="108">
        <f>Rich!R20</f>
        <v>11172.541935483872</v>
      </c>
      <c r="F85" s="108">
        <f>V.Poor!T20</f>
        <v>22771.625806451619</v>
      </c>
      <c r="G85" s="108">
        <f>Poor!T20</f>
        <v>20631.193548387098</v>
      </c>
      <c r="H85" s="108">
        <f>Middle!T20</f>
        <v>9227.3225806451628</v>
      </c>
      <c r="I85" s="108">
        <f>Rich!T20</f>
        <v>11072.787096774196</v>
      </c>
    </row>
    <row r="86" spans="1:9">
      <c r="A86" t="str">
        <f>V.Poor!Q21</f>
        <v>Cash transfer - gifts</v>
      </c>
      <c r="B86" s="108">
        <f>V.Poor!R21</f>
        <v>0</v>
      </c>
      <c r="C86" s="108">
        <f>Poor!R21</f>
        <v>0</v>
      </c>
      <c r="D86" s="108">
        <f>Middle!R21</f>
        <v>0</v>
      </c>
      <c r="E86" s="108">
        <f>Rich!R21</f>
        <v>0</v>
      </c>
      <c r="F86" s="108">
        <f>V.Poor!T21</f>
        <v>0</v>
      </c>
      <c r="G86" s="108">
        <f>Poor!T21</f>
        <v>0</v>
      </c>
      <c r="H86" s="108">
        <f>Middle!T21</f>
        <v>0</v>
      </c>
      <c r="I86" s="108">
        <f>Rich!T21</f>
        <v>0</v>
      </c>
    </row>
    <row r="87" spans="1:9">
      <c r="A87" t="str">
        <f>V.Poor!Q22</f>
        <v>Other</v>
      </c>
      <c r="B87" s="108">
        <f>V.Poor!R22</f>
        <v>0</v>
      </c>
      <c r="C87" s="108">
        <f>Poor!R22</f>
        <v>0</v>
      </c>
      <c r="D87" s="108">
        <f>Middle!R22</f>
        <v>0</v>
      </c>
      <c r="E87" s="108">
        <f>Rich!R22</f>
        <v>0</v>
      </c>
      <c r="F87" s="108">
        <f>V.Poor!T22</f>
        <v>0</v>
      </c>
      <c r="G87" s="108">
        <f>Poor!T22</f>
        <v>0</v>
      </c>
      <c r="H87" s="108">
        <f>Middle!T22</f>
        <v>0</v>
      </c>
      <c r="I87" s="108">
        <f>Rich!T22</f>
        <v>0</v>
      </c>
    </row>
    <row r="88" spans="1:9">
      <c r="A88" t="str">
        <f>V.Poor!Q23</f>
        <v>TOTAL</v>
      </c>
      <c r="B88" s="108">
        <f>V.Poor!R23</f>
        <v>39953.728283322678</v>
      </c>
      <c r="C88" s="108">
        <f>Poor!R23</f>
        <v>51863.527447716639</v>
      </c>
      <c r="D88" s="108">
        <f>Middle!R23</f>
        <v>157003.92153281462</v>
      </c>
      <c r="E88" s="108">
        <f>Rich!R23</f>
        <v>462696.43688086706</v>
      </c>
      <c r="F88" s="108">
        <f>V.Poor!T23</f>
        <v>41141.938127677451</v>
      </c>
      <c r="G88" s="108">
        <f>Poor!T23</f>
        <v>52035.863140070149</v>
      </c>
      <c r="H88" s="108">
        <f>Middle!T23</f>
        <v>151415.66567841941</v>
      </c>
      <c r="I88" s="108">
        <f>Rich!T23</f>
        <v>442013.00627292541</v>
      </c>
    </row>
    <row r="89" spans="1:9">
      <c r="A89" t="str">
        <f>V.Poor!Q24</f>
        <v>Food Poverty line</v>
      </c>
      <c r="B89" s="108">
        <f>V.Poor!R24</f>
        <v>21863.869686861162</v>
      </c>
      <c r="C89" s="108">
        <f>Poor!R24</f>
        <v>21863.869686861162</v>
      </c>
      <c r="D89" s="108">
        <f>Middle!R24</f>
        <v>21863.869686861162</v>
      </c>
      <c r="E89" s="108">
        <f>Rich!R24</f>
        <v>21863.869686861162</v>
      </c>
      <c r="F89" s="108">
        <f>V.Poor!T24</f>
        <v>21863.869686861162</v>
      </c>
      <c r="G89" s="108">
        <f>Poor!T24</f>
        <v>21863.869686861162</v>
      </c>
      <c r="H89" s="108">
        <f>Middle!T24</f>
        <v>21863.869686861162</v>
      </c>
      <c r="I89" s="108">
        <f>Rich!T24</f>
        <v>21863.869686861162</v>
      </c>
    </row>
    <row r="90" spans="1:9">
      <c r="A90" s="107" t="str">
        <f>V.Poor!Q25</f>
        <v>Lower Bound Poverty line</v>
      </c>
      <c r="B90" s="108">
        <f>V.Poor!R25</f>
        <v>35134.825989516008</v>
      </c>
      <c r="C90" s="108">
        <f>Poor!R25</f>
        <v>35134.825989516001</v>
      </c>
      <c r="D90" s="108">
        <f>Middle!R25</f>
        <v>35134.825989516001</v>
      </c>
      <c r="E90" s="108">
        <f>Rich!R25</f>
        <v>35134.825989516008</v>
      </c>
      <c r="F90" s="108">
        <f>V.Poor!T25</f>
        <v>34833.109686861164</v>
      </c>
      <c r="G90" s="108">
        <f>Poor!T25</f>
        <v>34833.109686861164</v>
      </c>
      <c r="H90" s="108">
        <f>Middle!T25</f>
        <v>34833.109686861164</v>
      </c>
      <c r="I90" s="108">
        <f>Rich!T25</f>
        <v>34833.109686861164</v>
      </c>
    </row>
    <row r="91" spans="1:9">
      <c r="A91" s="107" t="str">
        <f>V.Poor!Q26</f>
        <v>Upper Bound Poverty line</v>
      </c>
      <c r="B91" s="108">
        <f>V.Poor!R26</f>
        <v>58769.031633614097</v>
      </c>
      <c r="C91" s="108">
        <f>Poor!R26</f>
        <v>58769.031633614068</v>
      </c>
      <c r="D91" s="108">
        <f>Middle!R26</f>
        <v>58769.031633614068</v>
      </c>
      <c r="E91" s="108">
        <f>Rich!R26</f>
        <v>58769.031633614082</v>
      </c>
      <c r="F91" s="108">
        <f>V.Poor!T26</f>
        <v>57929.989686861169</v>
      </c>
      <c r="G91" s="108">
        <f>Poor!T26</f>
        <v>57929.989686861169</v>
      </c>
      <c r="H91" s="108">
        <f>Middle!T26</f>
        <v>57929.989686861169</v>
      </c>
      <c r="I91" s="108">
        <f>Rich!T26</f>
        <v>57929.989686861169</v>
      </c>
    </row>
    <row r="92" spans="1:9">
      <c r="A92" s="107" t="str">
        <f>V.Poor!Q27</f>
        <v>Resilience line</v>
      </c>
      <c r="B92" s="108">
        <f>V.Poor!R27</f>
        <v>59273.337059699232</v>
      </c>
      <c r="C92" s="108">
        <f>Poor!R27</f>
        <v>61665.380364508448</v>
      </c>
      <c r="D92" s="108">
        <f>Middle!R27</f>
        <v>85188.275351497636</v>
      </c>
      <c r="E92" s="108">
        <f>Rich!R27</f>
        <v>127300.05007567008</v>
      </c>
      <c r="F92" s="108">
        <f>V.Poor!T27</f>
        <v>58422.829686861158</v>
      </c>
      <c r="G92" s="108">
        <f>Poor!T27</f>
        <v>60760.489686861169</v>
      </c>
      <c r="H92" s="108">
        <f>Middle!T27</f>
        <v>83748.58968686116</v>
      </c>
      <c r="I92" s="108">
        <f>Rich!T27</f>
        <v>124902.94968686117</v>
      </c>
    </row>
    <row r="93" spans="1:9">
      <c r="A93" t="str">
        <f>V.Poor!Q24</f>
        <v>Food Poverty line</v>
      </c>
      <c r="F93" s="108">
        <f>V.Poor!T24</f>
        <v>21863.869686861162</v>
      </c>
      <c r="G93" s="108">
        <f>Poor!T24</f>
        <v>21863.869686861162</v>
      </c>
      <c r="H93" s="108">
        <f>Middle!T24</f>
        <v>21863.869686861162</v>
      </c>
      <c r="I93" s="108">
        <f>Rich!T24</f>
        <v>21863.869686861162</v>
      </c>
    </row>
    <row r="94" spans="1:9">
      <c r="A94" s="107" t="str">
        <f>V.Poor!Q25</f>
        <v>Lower Bound Poverty line</v>
      </c>
      <c r="F94" s="108">
        <f>V.Poor!T25</f>
        <v>34833.109686861164</v>
      </c>
      <c r="G94" s="108">
        <f>Poor!T25</f>
        <v>34833.109686861164</v>
      </c>
      <c r="H94" s="108">
        <f>Middle!T25</f>
        <v>34833.109686861164</v>
      </c>
      <c r="I94" s="108">
        <f>Rich!T25</f>
        <v>34833.109686861164</v>
      </c>
    </row>
    <row r="95" spans="1:9">
      <c r="A95" t="str">
        <f>V.Poor!Q26</f>
        <v>Upper Bound Poverty line</v>
      </c>
      <c r="F95" s="108">
        <f>V.Poor!T26</f>
        <v>57929.989686861169</v>
      </c>
      <c r="G95" s="108">
        <f>Poor!T26</f>
        <v>57929.989686861169</v>
      </c>
      <c r="H95" s="108">
        <f>Middle!T26</f>
        <v>57929.989686861169</v>
      </c>
      <c r="I95" s="108">
        <f>Rich!T26</f>
        <v>57929.989686861169</v>
      </c>
    </row>
    <row r="96" spans="1:9">
      <c r="A96" t="str">
        <f>V.Poor!Q27</f>
        <v>Resilience line</v>
      </c>
      <c r="F96" s="108">
        <f>V.Poor!T27</f>
        <v>58422.829686861158</v>
      </c>
      <c r="G96" s="108">
        <f>Poor!T27</f>
        <v>60760.489686861169</v>
      </c>
      <c r="H96" s="108">
        <f>Middle!T27</f>
        <v>83748.58968686116</v>
      </c>
      <c r="I96" s="108">
        <f>Rich!T27</f>
        <v>124902.94968686117</v>
      </c>
    </row>
    <row r="98" spans="1:9">
      <c r="A98" t="s">
        <v>147</v>
      </c>
      <c r="B98">
        <f>IF(B89&gt;B$88,B89-B$88,0)</f>
        <v>0</v>
      </c>
      <c r="C98">
        <f t="shared" ref="C98:I101" si="0">IF(C89&gt;C$88,C89-C$88,0)</f>
        <v>0</v>
      </c>
      <c r="D98">
        <f t="shared" si="0"/>
        <v>0</v>
      </c>
      <c r="E98">
        <f t="shared" si="0"/>
        <v>0</v>
      </c>
      <c r="F98">
        <f t="shared" si="0"/>
        <v>0</v>
      </c>
      <c r="G98">
        <f t="shared" si="0"/>
        <v>0</v>
      </c>
      <c r="H98">
        <f t="shared" si="0"/>
        <v>0</v>
      </c>
      <c r="I98">
        <f t="shared" si="0"/>
        <v>0</v>
      </c>
    </row>
    <row r="99" spans="1:9">
      <c r="A99" t="s">
        <v>148</v>
      </c>
      <c r="B99">
        <f>IF(B90&gt;B$88,B90-B$88,0)</f>
        <v>0</v>
      </c>
      <c r="C99">
        <f t="shared" si="0"/>
        <v>0</v>
      </c>
      <c r="D99">
        <f t="shared" si="0"/>
        <v>0</v>
      </c>
      <c r="E99">
        <f t="shared" si="0"/>
        <v>0</v>
      </c>
      <c r="F99">
        <f t="shared" si="0"/>
        <v>0</v>
      </c>
      <c r="G99">
        <f t="shared" si="0"/>
        <v>0</v>
      </c>
      <c r="H99">
        <f t="shared" si="0"/>
        <v>0</v>
      </c>
      <c r="I99">
        <f t="shared" si="0"/>
        <v>0</v>
      </c>
    </row>
    <row r="100" spans="1:9">
      <c r="A100" t="s">
        <v>149</v>
      </c>
      <c r="B100">
        <f>IF(B91&gt;B$88,B91-B$88,0)</f>
        <v>18815.303350291419</v>
      </c>
      <c r="C100">
        <f t="shared" si="0"/>
        <v>6905.5041858974291</v>
      </c>
      <c r="D100">
        <f t="shared" si="0"/>
        <v>0</v>
      </c>
      <c r="E100">
        <f t="shared" si="0"/>
        <v>0</v>
      </c>
      <c r="F100">
        <f t="shared" si="0"/>
        <v>16788.051559183717</v>
      </c>
      <c r="G100">
        <f t="shared" si="0"/>
        <v>5894.1265467910198</v>
      </c>
      <c r="H100">
        <f t="shared" si="0"/>
        <v>0</v>
      </c>
      <c r="I100">
        <f t="shared" si="0"/>
        <v>0</v>
      </c>
    </row>
    <row r="101" spans="1:9">
      <c r="A101" t="s">
        <v>150</v>
      </c>
      <c r="B101">
        <f>IF(B92&gt;B$88,B92-B$88,0)</f>
        <v>19319.608776376554</v>
      </c>
      <c r="C101">
        <f t="shared" si="0"/>
        <v>9801.8529167918095</v>
      </c>
      <c r="D101">
        <f t="shared" si="0"/>
        <v>0</v>
      </c>
      <c r="E101">
        <f t="shared" si="0"/>
        <v>0</v>
      </c>
      <c r="F101">
        <f t="shared" si="0"/>
        <v>17280.891559183707</v>
      </c>
      <c r="G101">
        <f t="shared" si="0"/>
        <v>8724.6265467910198</v>
      </c>
      <c r="H101">
        <f t="shared" si="0"/>
        <v>0</v>
      </c>
      <c r="I101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opLeftCell="G1" zoomScale="75" workbookViewId="0">
      <selection activeCell="K63" sqref="K63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0" t="str">
        <f>Poor!A1</f>
        <v>ZANOC</v>
      </c>
      <c r="L2" s="260"/>
      <c r="M2" s="260"/>
      <c r="N2" s="260"/>
      <c r="O2" s="260"/>
      <c r="P2" s="260"/>
      <c r="Q2" s="260"/>
      <c r="R2" s="87"/>
      <c r="S2" s="87"/>
      <c r="T2" s="87"/>
      <c r="U2" s="87"/>
      <c r="V2" s="87"/>
    </row>
    <row r="3" spans="1:22" s="93" customFormat="1" ht="17">
      <c r="A3" s="90"/>
      <c r="B3" s="261" t="str">
        <f>V.Poor!A54</f>
        <v>Expenditure : Very Poor HHs</v>
      </c>
      <c r="C3" s="261"/>
      <c r="D3" s="261"/>
      <c r="E3" s="261"/>
      <c r="F3" s="90"/>
      <c r="G3" s="259" t="str">
        <f>Poor!A54</f>
        <v>Expenditure : Poor HHs</v>
      </c>
      <c r="H3" s="259"/>
      <c r="I3" s="259"/>
      <c r="J3" s="259"/>
      <c r="K3" s="89"/>
      <c r="L3" s="259" t="str">
        <f>Middle!A54</f>
        <v>Expenditure : Middle HHs</v>
      </c>
      <c r="M3" s="259"/>
      <c r="N3" s="259"/>
      <c r="O3" s="259"/>
      <c r="P3" s="259"/>
      <c r="Q3" s="91"/>
      <c r="R3" s="259" t="str">
        <f>Rich!A54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98</v>
      </c>
      <c r="C1" s="202" t="s">
        <v>97</v>
      </c>
      <c r="D1" s="202" t="s">
        <v>99</v>
      </c>
      <c r="E1" s="202" t="s">
        <v>100</v>
      </c>
    </row>
    <row r="2" spans="1:106">
      <c r="B2" s="203">
        <f>[1]!WB_summary</f>
        <v>0.4</v>
      </c>
      <c r="C2" s="203">
        <f>[1]WB!$CK$10</f>
        <v>0.34</v>
      </c>
      <c r="D2" s="203">
        <f>[1]WB!$CK$11</f>
        <v>0.18</v>
      </c>
      <c r="E2" s="203">
        <f>[1]WB!$CK$12</f>
        <v>0.08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344.95269483095262</v>
      </c>
      <c r="C3" s="204">
        <f>Income!C72</f>
        <v>2652.6387558213746</v>
      </c>
      <c r="D3" s="204">
        <f>Income!D72</f>
        <v>4103.3979227532782</v>
      </c>
      <c r="E3" s="204">
        <f>Income!E72</f>
        <v>3942.9259229559671</v>
      </c>
      <c r="F3" s="205">
        <f>IF(F$2&lt;=($B$2+$C$2+$D$2),IF(F$2&lt;=($B$2+$C$2),IF(F$2&lt;=$B$2,$B3,$C3),$D3),$E3)</f>
        <v>344.95269483095262</v>
      </c>
      <c r="G3" s="205">
        <f t="shared" ref="G3:AW7" si="0">IF(G$2&lt;=($B$2+$C$2+$D$2),IF(G$2&lt;=($B$2+$C$2),IF(G$2&lt;=$B$2,$B3,$C3),$D3),$E3)</f>
        <v>344.95269483095262</v>
      </c>
      <c r="H3" s="205">
        <f t="shared" si="0"/>
        <v>344.95269483095262</v>
      </c>
      <c r="I3" s="205">
        <f t="shared" si="0"/>
        <v>344.95269483095262</v>
      </c>
      <c r="J3" s="205">
        <f t="shared" si="0"/>
        <v>344.95269483095262</v>
      </c>
      <c r="K3" s="205">
        <f t="shared" si="0"/>
        <v>344.95269483095262</v>
      </c>
      <c r="L3" s="205">
        <f t="shared" si="0"/>
        <v>344.95269483095262</v>
      </c>
      <c r="M3" s="205">
        <f t="shared" si="0"/>
        <v>344.95269483095262</v>
      </c>
      <c r="N3" s="205">
        <f t="shared" si="0"/>
        <v>344.95269483095262</v>
      </c>
      <c r="O3" s="205">
        <f t="shared" si="0"/>
        <v>344.95269483095262</v>
      </c>
      <c r="P3" s="205">
        <f t="shared" si="0"/>
        <v>344.95269483095262</v>
      </c>
      <c r="Q3" s="205">
        <f t="shared" si="0"/>
        <v>344.95269483095262</v>
      </c>
      <c r="R3" s="205">
        <f t="shared" si="0"/>
        <v>344.95269483095262</v>
      </c>
      <c r="S3" s="205">
        <f t="shared" si="0"/>
        <v>344.95269483095262</v>
      </c>
      <c r="T3" s="205">
        <f t="shared" si="0"/>
        <v>344.95269483095262</v>
      </c>
      <c r="U3" s="205">
        <f t="shared" si="0"/>
        <v>344.95269483095262</v>
      </c>
      <c r="V3" s="205">
        <f t="shared" si="0"/>
        <v>344.95269483095262</v>
      </c>
      <c r="W3" s="205">
        <f t="shared" si="0"/>
        <v>344.95269483095262</v>
      </c>
      <c r="X3" s="205">
        <f t="shared" si="0"/>
        <v>344.95269483095262</v>
      </c>
      <c r="Y3" s="205">
        <f t="shared" si="0"/>
        <v>344.95269483095262</v>
      </c>
      <c r="Z3" s="205">
        <f t="shared" si="0"/>
        <v>344.95269483095262</v>
      </c>
      <c r="AA3" s="205">
        <f t="shared" si="0"/>
        <v>344.95269483095262</v>
      </c>
      <c r="AB3" s="205">
        <f t="shared" si="0"/>
        <v>344.95269483095262</v>
      </c>
      <c r="AC3" s="205">
        <f t="shared" si="0"/>
        <v>344.95269483095262</v>
      </c>
      <c r="AD3" s="205">
        <f t="shared" si="0"/>
        <v>344.95269483095262</v>
      </c>
      <c r="AE3" s="205">
        <f t="shared" si="0"/>
        <v>344.95269483095262</v>
      </c>
      <c r="AF3" s="205">
        <f t="shared" si="0"/>
        <v>344.95269483095262</v>
      </c>
      <c r="AG3" s="205">
        <f t="shared" si="0"/>
        <v>344.95269483095262</v>
      </c>
      <c r="AH3" s="205">
        <f t="shared" si="0"/>
        <v>344.95269483095262</v>
      </c>
      <c r="AI3" s="205">
        <f t="shared" si="0"/>
        <v>344.95269483095262</v>
      </c>
      <c r="AJ3" s="205">
        <f t="shared" si="0"/>
        <v>344.95269483095262</v>
      </c>
      <c r="AK3" s="205">
        <f t="shared" si="0"/>
        <v>344.95269483095262</v>
      </c>
      <c r="AL3" s="205">
        <f t="shared" si="0"/>
        <v>344.95269483095262</v>
      </c>
      <c r="AM3" s="205">
        <f t="shared" si="0"/>
        <v>344.95269483095262</v>
      </c>
      <c r="AN3" s="205">
        <f t="shared" si="0"/>
        <v>344.95269483095262</v>
      </c>
      <c r="AO3" s="205">
        <f t="shared" si="0"/>
        <v>344.95269483095262</v>
      </c>
      <c r="AP3" s="205">
        <f t="shared" si="0"/>
        <v>344.95269483095262</v>
      </c>
      <c r="AQ3" s="205">
        <f t="shared" si="0"/>
        <v>344.95269483095262</v>
      </c>
      <c r="AR3" s="205">
        <f t="shared" si="0"/>
        <v>344.95269483095262</v>
      </c>
      <c r="AS3" s="205">
        <f t="shared" si="0"/>
        <v>344.95269483095262</v>
      </c>
      <c r="AT3" s="205">
        <f t="shared" si="0"/>
        <v>2652.6387558213746</v>
      </c>
      <c r="AU3" s="205">
        <f t="shared" si="0"/>
        <v>2652.6387558213746</v>
      </c>
      <c r="AV3" s="205">
        <f t="shared" si="0"/>
        <v>2652.6387558213746</v>
      </c>
      <c r="AW3" s="205">
        <f t="shared" si="0"/>
        <v>2652.6387558213746</v>
      </c>
      <c r="AX3" s="205">
        <f t="shared" ref="AX3:BZ10" si="1">IF(AX$2&lt;=($B$2+$C$2+$D$2),IF(AX$2&lt;=($B$2+$C$2),IF(AX$2&lt;=$B$2,$B3,$C3),$D3),$E3)</f>
        <v>2652.6387558213746</v>
      </c>
      <c r="AY3" s="205">
        <f t="shared" si="1"/>
        <v>2652.6387558213746</v>
      </c>
      <c r="AZ3" s="205">
        <f t="shared" si="1"/>
        <v>2652.6387558213746</v>
      </c>
      <c r="BA3" s="205">
        <f t="shared" si="1"/>
        <v>2652.6387558213746</v>
      </c>
      <c r="BB3" s="205">
        <f t="shared" si="1"/>
        <v>2652.6387558213746</v>
      </c>
      <c r="BC3" s="205">
        <f t="shared" si="1"/>
        <v>2652.6387558213746</v>
      </c>
      <c r="BD3" s="205">
        <f t="shared" si="1"/>
        <v>2652.6387558213746</v>
      </c>
      <c r="BE3" s="205">
        <f t="shared" si="1"/>
        <v>2652.6387558213746</v>
      </c>
      <c r="BF3" s="205">
        <f t="shared" si="1"/>
        <v>2652.6387558213746</v>
      </c>
      <c r="BG3" s="205">
        <f t="shared" si="1"/>
        <v>2652.6387558213746</v>
      </c>
      <c r="BH3" s="205">
        <f t="shared" si="1"/>
        <v>2652.6387558213746</v>
      </c>
      <c r="BI3" s="205">
        <f t="shared" si="1"/>
        <v>2652.6387558213746</v>
      </c>
      <c r="BJ3" s="205">
        <f t="shared" si="1"/>
        <v>2652.6387558213746</v>
      </c>
      <c r="BK3" s="205">
        <f t="shared" si="1"/>
        <v>2652.6387558213746</v>
      </c>
      <c r="BL3" s="205">
        <f t="shared" si="1"/>
        <v>2652.6387558213746</v>
      </c>
      <c r="BM3" s="205">
        <f t="shared" si="1"/>
        <v>2652.6387558213746</v>
      </c>
      <c r="BN3" s="205">
        <f t="shared" si="1"/>
        <v>2652.6387558213746</v>
      </c>
      <c r="BO3" s="205">
        <f t="shared" si="1"/>
        <v>2652.6387558213746</v>
      </c>
      <c r="BP3" s="205">
        <f t="shared" si="1"/>
        <v>2652.6387558213746</v>
      </c>
      <c r="BQ3" s="205">
        <f t="shared" si="1"/>
        <v>2652.6387558213746</v>
      </c>
      <c r="BR3" s="205">
        <f t="shared" si="1"/>
        <v>2652.6387558213746</v>
      </c>
      <c r="BS3" s="205">
        <f t="shared" si="1"/>
        <v>2652.6387558213746</v>
      </c>
      <c r="BT3" s="205">
        <f t="shared" si="1"/>
        <v>2652.6387558213746</v>
      </c>
      <c r="BU3" s="205">
        <f t="shared" si="1"/>
        <v>2652.6387558213746</v>
      </c>
      <c r="BV3" s="205">
        <f t="shared" si="1"/>
        <v>2652.6387558213746</v>
      </c>
      <c r="BW3" s="205">
        <f t="shared" si="1"/>
        <v>2652.6387558213746</v>
      </c>
      <c r="BX3" s="205">
        <f t="shared" si="1"/>
        <v>2652.6387558213746</v>
      </c>
      <c r="BY3" s="205">
        <f t="shared" si="1"/>
        <v>2652.6387558213746</v>
      </c>
      <c r="BZ3" s="205">
        <f t="shared" si="1"/>
        <v>2652.6387558213746</v>
      </c>
      <c r="CA3" s="205">
        <f t="shared" ref="CA3:CR15" si="2">IF(CA$2&lt;=($B$2+$C$2+$D$2),IF(CA$2&lt;=($B$2+$C$2),IF(CA$2&lt;=$B$2,$B3,$C3),$D3),$E3)</f>
        <v>2652.6387558213746</v>
      </c>
      <c r="CB3" s="205">
        <f t="shared" si="2"/>
        <v>4103.3979227532782</v>
      </c>
      <c r="CC3" s="205">
        <f t="shared" si="2"/>
        <v>4103.3979227532782</v>
      </c>
      <c r="CD3" s="205">
        <f t="shared" si="2"/>
        <v>4103.3979227532782</v>
      </c>
      <c r="CE3" s="205">
        <f t="shared" si="2"/>
        <v>4103.3979227532782</v>
      </c>
      <c r="CF3" s="205">
        <f t="shared" si="2"/>
        <v>4103.3979227532782</v>
      </c>
      <c r="CG3" s="205">
        <f t="shared" si="2"/>
        <v>4103.3979227532782</v>
      </c>
      <c r="CH3" s="205">
        <f t="shared" si="2"/>
        <v>4103.3979227532782</v>
      </c>
      <c r="CI3" s="205">
        <f t="shared" si="2"/>
        <v>4103.3979227532782</v>
      </c>
      <c r="CJ3" s="205">
        <f t="shared" si="2"/>
        <v>4103.3979227532782</v>
      </c>
      <c r="CK3" s="205">
        <f t="shared" si="2"/>
        <v>4103.3979227532782</v>
      </c>
      <c r="CL3" s="205">
        <f t="shared" si="2"/>
        <v>4103.3979227532782</v>
      </c>
      <c r="CM3" s="205">
        <f t="shared" si="2"/>
        <v>4103.3979227532782</v>
      </c>
      <c r="CN3" s="205">
        <f t="shared" si="2"/>
        <v>4103.3979227532782</v>
      </c>
      <c r="CO3" s="205">
        <f t="shared" si="2"/>
        <v>4103.3979227532782</v>
      </c>
      <c r="CP3" s="205">
        <f t="shared" si="2"/>
        <v>4103.3979227532782</v>
      </c>
      <c r="CQ3" s="205">
        <f t="shared" si="2"/>
        <v>4103.3979227532782</v>
      </c>
      <c r="CR3" s="205">
        <f t="shared" si="2"/>
        <v>4103.3979227532782</v>
      </c>
      <c r="CS3" s="205">
        <f t="shared" ref="CS3:DA15" si="3">IF(CS$2&lt;=($B$2+$C$2+$D$2),IF(CS$2&lt;=($B$2+$C$2),IF(CS$2&lt;=$B$2,$B3,$C3),$D3),$E3)</f>
        <v>4103.3979227532782</v>
      </c>
      <c r="CT3" s="205">
        <f t="shared" si="3"/>
        <v>3942.9259229559671</v>
      </c>
      <c r="CU3" s="205">
        <f t="shared" si="3"/>
        <v>3942.9259229559671</v>
      </c>
      <c r="CV3" s="205">
        <f t="shared" si="3"/>
        <v>3942.9259229559671</v>
      </c>
      <c r="CW3" s="205">
        <f t="shared" si="3"/>
        <v>3942.9259229559671</v>
      </c>
      <c r="CX3" s="205">
        <f t="shared" si="3"/>
        <v>3942.9259229559671</v>
      </c>
      <c r="CY3" s="205">
        <f t="shared" si="3"/>
        <v>3942.9259229559671</v>
      </c>
      <c r="CZ3" s="205">
        <f t="shared" si="3"/>
        <v>3942.9259229559671</v>
      </c>
      <c r="DA3" s="205">
        <f t="shared" si="3"/>
        <v>3942.9259229559671</v>
      </c>
      <c r="DB3" s="205"/>
    </row>
    <row r="4" spans="1:106">
      <c r="A4" s="202" t="str">
        <f>Income!A73</f>
        <v>Own crops sold</v>
      </c>
      <c r="B4" s="204">
        <f>Income!B73</f>
        <v>0</v>
      </c>
      <c r="C4" s="204">
        <f>Income!C73</f>
        <v>0</v>
      </c>
      <c r="D4" s="204">
        <f>Income!D73</f>
        <v>0</v>
      </c>
      <c r="E4" s="204">
        <f>Income!E73</f>
        <v>4838.3999999999996</v>
      </c>
      <c r="F4" s="205">
        <f t="shared" ref="F4:U17" si="4">IF(F$2&lt;=($B$2+$C$2+$D$2),IF(F$2&lt;=($B$2+$C$2),IF(F$2&lt;=$B$2,$B4,$C4),$D4),$E4)</f>
        <v>0</v>
      </c>
      <c r="G4" s="205">
        <f t="shared" si="0"/>
        <v>0</v>
      </c>
      <c r="H4" s="205">
        <f t="shared" si="0"/>
        <v>0</v>
      </c>
      <c r="I4" s="205">
        <f t="shared" si="0"/>
        <v>0</v>
      </c>
      <c r="J4" s="205">
        <f t="shared" si="0"/>
        <v>0</v>
      </c>
      <c r="K4" s="205">
        <f t="shared" si="0"/>
        <v>0</v>
      </c>
      <c r="L4" s="205">
        <f t="shared" si="0"/>
        <v>0</v>
      </c>
      <c r="M4" s="205">
        <f t="shared" si="0"/>
        <v>0</v>
      </c>
      <c r="N4" s="205">
        <f t="shared" si="0"/>
        <v>0</v>
      </c>
      <c r="O4" s="205">
        <f t="shared" si="0"/>
        <v>0</v>
      </c>
      <c r="P4" s="205">
        <f t="shared" si="0"/>
        <v>0</v>
      </c>
      <c r="Q4" s="205">
        <f t="shared" si="0"/>
        <v>0</v>
      </c>
      <c r="R4" s="205">
        <f t="shared" si="0"/>
        <v>0</v>
      </c>
      <c r="S4" s="205">
        <f t="shared" si="0"/>
        <v>0</v>
      </c>
      <c r="T4" s="205">
        <f t="shared" si="0"/>
        <v>0</v>
      </c>
      <c r="U4" s="205">
        <f t="shared" si="0"/>
        <v>0</v>
      </c>
      <c r="V4" s="205">
        <f t="shared" si="0"/>
        <v>0</v>
      </c>
      <c r="W4" s="205">
        <f t="shared" si="0"/>
        <v>0</v>
      </c>
      <c r="X4" s="205">
        <f t="shared" si="0"/>
        <v>0</v>
      </c>
      <c r="Y4" s="205">
        <f t="shared" si="0"/>
        <v>0</v>
      </c>
      <c r="Z4" s="205">
        <f t="shared" si="0"/>
        <v>0</v>
      </c>
      <c r="AA4" s="205">
        <f t="shared" si="0"/>
        <v>0</v>
      </c>
      <c r="AB4" s="205">
        <f t="shared" si="0"/>
        <v>0</v>
      </c>
      <c r="AC4" s="205">
        <f t="shared" si="0"/>
        <v>0</v>
      </c>
      <c r="AD4" s="205">
        <f t="shared" si="0"/>
        <v>0</v>
      </c>
      <c r="AE4" s="205">
        <f t="shared" si="0"/>
        <v>0</v>
      </c>
      <c r="AF4" s="205">
        <f t="shared" si="0"/>
        <v>0</v>
      </c>
      <c r="AG4" s="205">
        <f t="shared" si="0"/>
        <v>0</v>
      </c>
      <c r="AH4" s="205">
        <f t="shared" si="0"/>
        <v>0</v>
      </c>
      <c r="AI4" s="205">
        <f t="shared" si="0"/>
        <v>0</v>
      </c>
      <c r="AJ4" s="205">
        <f t="shared" si="0"/>
        <v>0</v>
      </c>
      <c r="AK4" s="205">
        <f t="shared" si="0"/>
        <v>0</v>
      </c>
      <c r="AL4" s="205">
        <f t="shared" si="0"/>
        <v>0</v>
      </c>
      <c r="AM4" s="205">
        <f t="shared" si="0"/>
        <v>0</v>
      </c>
      <c r="AN4" s="205">
        <f t="shared" si="0"/>
        <v>0</v>
      </c>
      <c r="AO4" s="205">
        <f t="shared" si="0"/>
        <v>0</v>
      </c>
      <c r="AP4" s="205">
        <f t="shared" si="0"/>
        <v>0</v>
      </c>
      <c r="AQ4" s="205">
        <f t="shared" si="0"/>
        <v>0</v>
      </c>
      <c r="AR4" s="205">
        <f t="shared" si="0"/>
        <v>0</v>
      </c>
      <c r="AS4" s="205">
        <f t="shared" si="0"/>
        <v>0</v>
      </c>
      <c r="AT4" s="205">
        <f t="shared" si="0"/>
        <v>0</v>
      </c>
      <c r="AU4" s="205">
        <f t="shared" si="0"/>
        <v>0</v>
      </c>
      <c r="AV4" s="205">
        <f t="shared" si="0"/>
        <v>0</v>
      </c>
      <c r="AW4" s="205">
        <f t="shared" si="0"/>
        <v>0</v>
      </c>
      <c r="AX4" s="205">
        <f t="shared" si="1"/>
        <v>0</v>
      </c>
      <c r="AY4" s="205">
        <f t="shared" si="1"/>
        <v>0</v>
      </c>
      <c r="AZ4" s="205">
        <f t="shared" si="1"/>
        <v>0</v>
      </c>
      <c r="BA4" s="205">
        <f t="shared" si="1"/>
        <v>0</v>
      </c>
      <c r="BB4" s="205">
        <f t="shared" si="1"/>
        <v>0</v>
      </c>
      <c r="BC4" s="205">
        <f t="shared" si="1"/>
        <v>0</v>
      </c>
      <c r="BD4" s="205">
        <f t="shared" si="1"/>
        <v>0</v>
      </c>
      <c r="BE4" s="205">
        <f t="shared" si="1"/>
        <v>0</v>
      </c>
      <c r="BF4" s="205">
        <f t="shared" si="1"/>
        <v>0</v>
      </c>
      <c r="BG4" s="205">
        <f t="shared" si="1"/>
        <v>0</v>
      </c>
      <c r="BH4" s="205">
        <f t="shared" si="1"/>
        <v>0</v>
      </c>
      <c r="BI4" s="205">
        <f t="shared" si="1"/>
        <v>0</v>
      </c>
      <c r="BJ4" s="205">
        <f t="shared" si="1"/>
        <v>0</v>
      </c>
      <c r="BK4" s="205">
        <f t="shared" si="1"/>
        <v>0</v>
      </c>
      <c r="BL4" s="205">
        <f t="shared" si="1"/>
        <v>0</v>
      </c>
      <c r="BM4" s="205">
        <f t="shared" si="1"/>
        <v>0</v>
      </c>
      <c r="BN4" s="205">
        <f t="shared" si="1"/>
        <v>0</v>
      </c>
      <c r="BO4" s="205">
        <f t="shared" si="1"/>
        <v>0</v>
      </c>
      <c r="BP4" s="205">
        <f t="shared" si="1"/>
        <v>0</v>
      </c>
      <c r="BQ4" s="205">
        <f t="shared" si="1"/>
        <v>0</v>
      </c>
      <c r="BR4" s="205">
        <f t="shared" si="1"/>
        <v>0</v>
      </c>
      <c r="BS4" s="205">
        <f t="shared" si="1"/>
        <v>0</v>
      </c>
      <c r="BT4" s="205">
        <f t="shared" si="1"/>
        <v>0</v>
      </c>
      <c r="BU4" s="205">
        <f t="shared" si="1"/>
        <v>0</v>
      </c>
      <c r="BV4" s="205">
        <f t="shared" si="1"/>
        <v>0</v>
      </c>
      <c r="BW4" s="205">
        <f t="shared" si="1"/>
        <v>0</v>
      </c>
      <c r="BX4" s="205">
        <f t="shared" si="1"/>
        <v>0</v>
      </c>
      <c r="BY4" s="205">
        <f t="shared" si="1"/>
        <v>0</v>
      </c>
      <c r="BZ4" s="205">
        <f t="shared" si="1"/>
        <v>0</v>
      </c>
      <c r="CA4" s="205">
        <f t="shared" si="2"/>
        <v>0</v>
      </c>
      <c r="CB4" s="205">
        <f t="shared" si="2"/>
        <v>0</v>
      </c>
      <c r="CC4" s="205">
        <f t="shared" si="2"/>
        <v>0</v>
      </c>
      <c r="CD4" s="205">
        <f t="shared" si="2"/>
        <v>0</v>
      </c>
      <c r="CE4" s="205">
        <f t="shared" si="2"/>
        <v>0</v>
      </c>
      <c r="CF4" s="205">
        <f t="shared" si="2"/>
        <v>0</v>
      </c>
      <c r="CG4" s="205">
        <f t="shared" si="2"/>
        <v>0</v>
      </c>
      <c r="CH4" s="205">
        <f t="shared" si="2"/>
        <v>0</v>
      </c>
      <c r="CI4" s="205">
        <f t="shared" si="2"/>
        <v>0</v>
      </c>
      <c r="CJ4" s="205">
        <f t="shared" si="2"/>
        <v>0</v>
      </c>
      <c r="CK4" s="205">
        <f t="shared" si="2"/>
        <v>0</v>
      </c>
      <c r="CL4" s="205">
        <f t="shared" si="2"/>
        <v>0</v>
      </c>
      <c r="CM4" s="205">
        <f t="shared" si="2"/>
        <v>0</v>
      </c>
      <c r="CN4" s="205">
        <f t="shared" si="2"/>
        <v>0</v>
      </c>
      <c r="CO4" s="205">
        <f t="shared" si="2"/>
        <v>0</v>
      </c>
      <c r="CP4" s="205">
        <f t="shared" si="2"/>
        <v>0</v>
      </c>
      <c r="CQ4" s="205">
        <f t="shared" si="2"/>
        <v>0</v>
      </c>
      <c r="CR4" s="205">
        <f t="shared" si="2"/>
        <v>0</v>
      </c>
      <c r="CS4" s="205">
        <f t="shared" si="3"/>
        <v>0</v>
      </c>
      <c r="CT4" s="205">
        <f t="shared" si="3"/>
        <v>4838.3999999999996</v>
      </c>
      <c r="CU4" s="205">
        <f t="shared" si="3"/>
        <v>4838.3999999999996</v>
      </c>
      <c r="CV4" s="205">
        <f t="shared" si="3"/>
        <v>4838.3999999999996</v>
      </c>
      <c r="CW4" s="205">
        <f t="shared" si="3"/>
        <v>4838.3999999999996</v>
      </c>
      <c r="CX4" s="205">
        <f t="shared" si="3"/>
        <v>4838.3999999999996</v>
      </c>
      <c r="CY4" s="205">
        <f t="shared" si="3"/>
        <v>4838.3999999999996</v>
      </c>
      <c r="CZ4" s="205">
        <f t="shared" si="3"/>
        <v>4838.3999999999996</v>
      </c>
      <c r="DA4" s="205">
        <f t="shared" si="3"/>
        <v>4838.3999999999996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166.87229187021356</v>
      </c>
      <c r="D5" s="204">
        <f>Income!D74</f>
        <v>445.51575406420721</v>
      </c>
      <c r="E5" s="204">
        <f>Income!E74</f>
        <v>1349.2615307145268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0</v>
      </c>
      <c r="AJ5" s="205">
        <f t="shared" si="0"/>
        <v>0</v>
      </c>
      <c r="AK5" s="205">
        <f t="shared" si="0"/>
        <v>0</v>
      </c>
      <c r="AL5" s="205">
        <f t="shared" si="0"/>
        <v>0</v>
      </c>
      <c r="AM5" s="205">
        <f t="shared" si="0"/>
        <v>0</v>
      </c>
      <c r="AN5" s="205">
        <f t="shared" si="0"/>
        <v>0</v>
      </c>
      <c r="AO5" s="205">
        <f t="shared" si="0"/>
        <v>0</v>
      </c>
      <c r="AP5" s="205">
        <f t="shared" si="0"/>
        <v>0</v>
      </c>
      <c r="AQ5" s="205">
        <f t="shared" si="0"/>
        <v>0</v>
      </c>
      <c r="AR5" s="205">
        <f t="shared" si="0"/>
        <v>0</v>
      </c>
      <c r="AS5" s="205">
        <f t="shared" si="0"/>
        <v>0</v>
      </c>
      <c r="AT5" s="205">
        <f t="shared" si="0"/>
        <v>166.87229187021356</v>
      </c>
      <c r="AU5" s="205">
        <f t="shared" si="0"/>
        <v>166.87229187021356</v>
      </c>
      <c r="AV5" s="205">
        <f t="shared" si="0"/>
        <v>166.87229187021356</v>
      </c>
      <c r="AW5" s="205">
        <f t="shared" si="0"/>
        <v>166.87229187021356</v>
      </c>
      <c r="AX5" s="205">
        <f t="shared" si="1"/>
        <v>166.87229187021356</v>
      </c>
      <c r="AY5" s="205">
        <f t="shared" si="1"/>
        <v>166.87229187021356</v>
      </c>
      <c r="AZ5" s="205">
        <f t="shared" si="1"/>
        <v>166.87229187021356</v>
      </c>
      <c r="BA5" s="205">
        <f t="shared" si="1"/>
        <v>166.87229187021356</v>
      </c>
      <c r="BB5" s="205">
        <f t="shared" si="1"/>
        <v>166.87229187021356</v>
      </c>
      <c r="BC5" s="205">
        <f t="shared" si="1"/>
        <v>166.87229187021356</v>
      </c>
      <c r="BD5" s="205">
        <f t="shared" si="1"/>
        <v>166.87229187021356</v>
      </c>
      <c r="BE5" s="205">
        <f t="shared" si="1"/>
        <v>166.87229187021356</v>
      </c>
      <c r="BF5" s="205">
        <f t="shared" si="1"/>
        <v>166.87229187021356</v>
      </c>
      <c r="BG5" s="205">
        <f t="shared" si="1"/>
        <v>166.87229187021356</v>
      </c>
      <c r="BH5" s="205">
        <f t="shared" si="1"/>
        <v>166.87229187021356</v>
      </c>
      <c r="BI5" s="205">
        <f t="shared" si="1"/>
        <v>166.87229187021356</v>
      </c>
      <c r="BJ5" s="205">
        <f t="shared" si="1"/>
        <v>166.87229187021356</v>
      </c>
      <c r="BK5" s="205">
        <f t="shared" si="1"/>
        <v>166.87229187021356</v>
      </c>
      <c r="BL5" s="205">
        <f t="shared" si="1"/>
        <v>166.87229187021356</v>
      </c>
      <c r="BM5" s="205">
        <f t="shared" si="1"/>
        <v>166.87229187021356</v>
      </c>
      <c r="BN5" s="205">
        <f t="shared" si="1"/>
        <v>166.87229187021356</v>
      </c>
      <c r="BO5" s="205">
        <f t="shared" si="1"/>
        <v>166.87229187021356</v>
      </c>
      <c r="BP5" s="205">
        <f t="shared" si="1"/>
        <v>166.87229187021356</v>
      </c>
      <c r="BQ5" s="205">
        <f t="shared" si="1"/>
        <v>166.87229187021356</v>
      </c>
      <c r="BR5" s="205">
        <f t="shared" si="1"/>
        <v>166.87229187021356</v>
      </c>
      <c r="BS5" s="205">
        <f t="shared" si="1"/>
        <v>166.87229187021356</v>
      </c>
      <c r="BT5" s="205">
        <f t="shared" si="1"/>
        <v>166.87229187021356</v>
      </c>
      <c r="BU5" s="205">
        <f t="shared" si="1"/>
        <v>166.87229187021356</v>
      </c>
      <c r="BV5" s="205">
        <f t="shared" si="1"/>
        <v>166.87229187021356</v>
      </c>
      <c r="BW5" s="205">
        <f t="shared" si="1"/>
        <v>166.87229187021356</v>
      </c>
      <c r="BX5" s="205">
        <f t="shared" si="1"/>
        <v>166.87229187021356</v>
      </c>
      <c r="BY5" s="205">
        <f t="shared" si="1"/>
        <v>166.87229187021356</v>
      </c>
      <c r="BZ5" s="205">
        <f t="shared" si="1"/>
        <v>166.87229187021356</v>
      </c>
      <c r="CA5" s="205">
        <f t="shared" si="2"/>
        <v>166.87229187021356</v>
      </c>
      <c r="CB5" s="205">
        <f t="shared" si="2"/>
        <v>445.51575406420721</v>
      </c>
      <c r="CC5" s="205">
        <f t="shared" si="2"/>
        <v>445.51575406420721</v>
      </c>
      <c r="CD5" s="205">
        <f t="shared" si="2"/>
        <v>445.51575406420721</v>
      </c>
      <c r="CE5" s="205">
        <f t="shared" si="2"/>
        <v>445.51575406420721</v>
      </c>
      <c r="CF5" s="205">
        <f t="shared" si="2"/>
        <v>445.51575406420721</v>
      </c>
      <c r="CG5" s="205">
        <f t="shared" si="2"/>
        <v>445.51575406420721</v>
      </c>
      <c r="CH5" s="205">
        <f t="shared" si="2"/>
        <v>445.51575406420721</v>
      </c>
      <c r="CI5" s="205">
        <f t="shared" si="2"/>
        <v>445.51575406420721</v>
      </c>
      <c r="CJ5" s="205">
        <f t="shared" si="2"/>
        <v>445.51575406420721</v>
      </c>
      <c r="CK5" s="205">
        <f t="shared" si="2"/>
        <v>445.51575406420721</v>
      </c>
      <c r="CL5" s="205">
        <f t="shared" si="2"/>
        <v>445.51575406420721</v>
      </c>
      <c r="CM5" s="205">
        <f t="shared" si="2"/>
        <v>445.51575406420721</v>
      </c>
      <c r="CN5" s="205">
        <f t="shared" si="2"/>
        <v>445.51575406420721</v>
      </c>
      <c r="CO5" s="205">
        <f t="shared" si="2"/>
        <v>445.51575406420721</v>
      </c>
      <c r="CP5" s="205">
        <f t="shared" si="2"/>
        <v>445.51575406420721</v>
      </c>
      <c r="CQ5" s="205">
        <f t="shared" si="2"/>
        <v>445.51575406420721</v>
      </c>
      <c r="CR5" s="205">
        <f t="shared" si="2"/>
        <v>445.51575406420721</v>
      </c>
      <c r="CS5" s="205">
        <f t="shared" si="3"/>
        <v>445.51575406420721</v>
      </c>
      <c r="CT5" s="205">
        <f t="shared" si="3"/>
        <v>1349.2615307145268</v>
      </c>
      <c r="CU5" s="205">
        <f t="shared" si="3"/>
        <v>1349.2615307145268</v>
      </c>
      <c r="CV5" s="205">
        <f t="shared" si="3"/>
        <v>1349.2615307145268</v>
      </c>
      <c r="CW5" s="205">
        <f t="shared" si="3"/>
        <v>1349.2615307145268</v>
      </c>
      <c r="CX5" s="205">
        <f t="shared" si="3"/>
        <v>1349.2615307145268</v>
      </c>
      <c r="CY5" s="205">
        <f t="shared" si="3"/>
        <v>1349.2615307145268</v>
      </c>
      <c r="CZ5" s="205">
        <f t="shared" si="3"/>
        <v>1349.2615307145268</v>
      </c>
      <c r="DA5" s="205">
        <f t="shared" si="3"/>
        <v>1349.2615307145268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0</v>
      </c>
      <c r="C7" s="204">
        <f>Income!C76</f>
        <v>4065.6</v>
      </c>
      <c r="D7" s="204">
        <f>Income!D76</f>
        <v>11872.000000000002</v>
      </c>
      <c r="E7" s="204">
        <f>Income!E76</f>
        <v>23654.400000000005</v>
      </c>
      <c r="F7" s="205">
        <f t="shared" si="4"/>
        <v>0</v>
      </c>
      <c r="G7" s="205">
        <f t="shared" si="0"/>
        <v>0</v>
      </c>
      <c r="H7" s="205">
        <f t="shared" si="0"/>
        <v>0</v>
      </c>
      <c r="I7" s="205">
        <f t="shared" si="0"/>
        <v>0</v>
      </c>
      <c r="J7" s="205">
        <f t="shared" si="0"/>
        <v>0</v>
      </c>
      <c r="K7" s="205">
        <f t="shared" si="0"/>
        <v>0</v>
      </c>
      <c r="L7" s="205">
        <f t="shared" si="0"/>
        <v>0</v>
      </c>
      <c r="M7" s="205">
        <f t="shared" si="0"/>
        <v>0</v>
      </c>
      <c r="N7" s="205">
        <f t="shared" si="0"/>
        <v>0</v>
      </c>
      <c r="O7" s="205">
        <f t="shared" si="0"/>
        <v>0</v>
      </c>
      <c r="P7" s="205">
        <f t="shared" si="0"/>
        <v>0</v>
      </c>
      <c r="Q7" s="205">
        <f t="shared" si="0"/>
        <v>0</v>
      </c>
      <c r="R7" s="205">
        <f t="shared" si="0"/>
        <v>0</v>
      </c>
      <c r="S7" s="205">
        <f t="shared" si="0"/>
        <v>0</v>
      </c>
      <c r="T7" s="205">
        <f t="shared" si="0"/>
        <v>0</v>
      </c>
      <c r="U7" s="205">
        <f t="shared" si="0"/>
        <v>0</v>
      </c>
      <c r="V7" s="205">
        <f t="shared" si="0"/>
        <v>0</v>
      </c>
      <c r="W7" s="205">
        <f t="shared" si="0"/>
        <v>0</v>
      </c>
      <c r="X7" s="205">
        <f t="shared" si="0"/>
        <v>0</v>
      </c>
      <c r="Y7" s="205">
        <f t="shared" si="0"/>
        <v>0</v>
      </c>
      <c r="Z7" s="205">
        <f t="shared" si="0"/>
        <v>0</v>
      </c>
      <c r="AA7" s="205">
        <f t="shared" si="0"/>
        <v>0</v>
      </c>
      <c r="AB7" s="205">
        <f t="shared" si="0"/>
        <v>0</v>
      </c>
      <c r="AC7" s="205">
        <f t="shared" si="0"/>
        <v>0</v>
      </c>
      <c r="AD7" s="205">
        <f t="shared" si="0"/>
        <v>0</v>
      </c>
      <c r="AE7" s="205">
        <f t="shared" si="0"/>
        <v>0</v>
      </c>
      <c r="AF7" s="205">
        <f t="shared" si="0"/>
        <v>0</v>
      </c>
      <c r="AG7" s="205">
        <f t="shared" si="0"/>
        <v>0</v>
      </c>
      <c r="AH7" s="205">
        <f t="shared" si="0"/>
        <v>0</v>
      </c>
      <c r="AI7" s="205">
        <f t="shared" si="0"/>
        <v>0</v>
      </c>
      <c r="AJ7" s="205">
        <f t="shared" si="0"/>
        <v>0</v>
      </c>
      <c r="AK7" s="205">
        <f t="shared" si="0"/>
        <v>0</v>
      </c>
      <c r="AL7" s="205">
        <f t="shared" si="0"/>
        <v>0</v>
      </c>
      <c r="AM7" s="205">
        <f t="shared" si="0"/>
        <v>0</v>
      </c>
      <c r="AN7" s="205">
        <f t="shared" si="0"/>
        <v>0</v>
      </c>
      <c r="AO7" s="205">
        <f t="shared" si="0"/>
        <v>0</v>
      </c>
      <c r="AP7" s="205">
        <f t="shared" si="0"/>
        <v>0</v>
      </c>
      <c r="AQ7" s="205">
        <f t="shared" si="0"/>
        <v>0</v>
      </c>
      <c r="AR7" s="205">
        <f t="shared" si="0"/>
        <v>0</v>
      </c>
      <c r="AS7" s="205">
        <f t="shared" si="0"/>
        <v>0</v>
      </c>
      <c r="AT7" s="205">
        <f t="shared" si="0"/>
        <v>4065.6</v>
      </c>
      <c r="AU7" s="205">
        <f t="shared" ref="AU7:BJ8" si="5">IF(AU$2&lt;=($B$2+$C$2+$D$2),IF(AU$2&lt;=($B$2+$C$2),IF(AU$2&lt;=$B$2,$B7,$C7),$D7),$E7)</f>
        <v>4065.6</v>
      </c>
      <c r="AV7" s="205">
        <f t="shared" si="5"/>
        <v>4065.6</v>
      </c>
      <c r="AW7" s="205">
        <f t="shared" si="5"/>
        <v>4065.6</v>
      </c>
      <c r="AX7" s="205">
        <f t="shared" si="5"/>
        <v>4065.6</v>
      </c>
      <c r="AY7" s="205">
        <f t="shared" si="5"/>
        <v>4065.6</v>
      </c>
      <c r="AZ7" s="205">
        <f t="shared" si="5"/>
        <v>4065.6</v>
      </c>
      <c r="BA7" s="205">
        <f t="shared" si="5"/>
        <v>4065.6</v>
      </c>
      <c r="BB7" s="205">
        <f t="shared" si="5"/>
        <v>4065.6</v>
      </c>
      <c r="BC7" s="205">
        <f t="shared" si="5"/>
        <v>4065.6</v>
      </c>
      <c r="BD7" s="205">
        <f t="shared" si="5"/>
        <v>4065.6</v>
      </c>
      <c r="BE7" s="205">
        <f t="shared" si="5"/>
        <v>4065.6</v>
      </c>
      <c r="BF7" s="205">
        <f t="shared" si="5"/>
        <v>4065.6</v>
      </c>
      <c r="BG7" s="205">
        <f t="shared" si="5"/>
        <v>4065.6</v>
      </c>
      <c r="BH7" s="205">
        <f t="shared" si="5"/>
        <v>4065.6</v>
      </c>
      <c r="BI7" s="205">
        <f t="shared" si="5"/>
        <v>4065.6</v>
      </c>
      <c r="BJ7" s="205">
        <f t="shared" si="5"/>
        <v>4065.6</v>
      </c>
      <c r="BK7" s="205">
        <f t="shared" si="1"/>
        <v>4065.6</v>
      </c>
      <c r="BL7" s="205">
        <f t="shared" si="1"/>
        <v>4065.6</v>
      </c>
      <c r="BM7" s="205">
        <f t="shared" si="1"/>
        <v>4065.6</v>
      </c>
      <c r="BN7" s="205">
        <f t="shared" si="1"/>
        <v>4065.6</v>
      </c>
      <c r="BO7" s="205">
        <f t="shared" si="1"/>
        <v>4065.6</v>
      </c>
      <c r="BP7" s="205">
        <f t="shared" si="1"/>
        <v>4065.6</v>
      </c>
      <c r="BQ7" s="205">
        <f t="shared" si="1"/>
        <v>4065.6</v>
      </c>
      <c r="BR7" s="205">
        <f t="shared" si="1"/>
        <v>4065.6</v>
      </c>
      <c r="BS7" s="205">
        <f t="shared" si="1"/>
        <v>4065.6</v>
      </c>
      <c r="BT7" s="205">
        <f t="shared" si="1"/>
        <v>4065.6</v>
      </c>
      <c r="BU7" s="205">
        <f t="shared" si="1"/>
        <v>4065.6</v>
      </c>
      <c r="BV7" s="205">
        <f t="shared" si="1"/>
        <v>4065.6</v>
      </c>
      <c r="BW7" s="205">
        <f t="shared" si="1"/>
        <v>4065.6</v>
      </c>
      <c r="BX7" s="205">
        <f t="shared" si="1"/>
        <v>4065.6</v>
      </c>
      <c r="BY7" s="205">
        <f t="shared" si="1"/>
        <v>4065.6</v>
      </c>
      <c r="BZ7" s="205">
        <f t="shared" si="1"/>
        <v>4065.6</v>
      </c>
      <c r="CA7" s="205">
        <f t="shared" si="2"/>
        <v>4065.6</v>
      </c>
      <c r="CB7" s="205">
        <f t="shared" si="2"/>
        <v>11872.000000000002</v>
      </c>
      <c r="CC7" s="205">
        <f t="shared" si="2"/>
        <v>11872.000000000002</v>
      </c>
      <c r="CD7" s="205">
        <f t="shared" si="2"/>
        <v>11872.000000000002</v>
      </c>
      <c r="CE7" s="205">
        <f t="shared" si="2"/>
        <v>11872.000000000002</v>
      </c>
      <c r="CF7" s="205">
        <f t="shared" si="2"/>
        <v>11872.000000000002</v>
      </c>
      <c r="CG7" s="205">
        <f t="shared" si="2"/>
        <v>11872.000000000002</v>
      </c>
      <c r="CH7" s="205">
        <f t="shared" si="2"/>
        <v>11872.000000000002</v>
      </c>
      <c r="CI7" s="205">
        <f t="shared" si="2"/>
        <v>11872.000000000002</v>
      </c>
      <c r="CJ7" s="205">
        <f t="shared" si="2"/>
        <v>11872.000000000002</v>
      </c>
      <c r="CK7" s="205">
        <f t="shared" si="2"/>
        <v>11872.000000000002</v>
      </c>
      <c r="CL7" s="205">
        <f t="shared" si="2"/>
        <v>11872.000000000002</v>
      </c>
      <c r="CM7" s="205">
        <f t="shared" si="2"/>
        <v>11872.000000000002</v>
      </c>
      <c r="CN7" s="205">
        <f t="shared" si="2"/>
        <v>11872.000000000002</v>
      </c>
      <c r="CO7" s="205">
        <f t="shared" si="2"/>
        <v>11872.000000000002</v>
      </c>
      <c r="CP7" s="205">
        <f t="shared" si="2"/>
        <v>11872.000000000002</v>
      </c>
      <c r="CQ7" s="205">
        <f t="shared" si="2"/>
        <v>11872.000000000002</v>
      </c>
      <c r="CR7" s="205">
        <f t="shared" si="2"/>
        <v>11872.000000000002</v>
      </c>
      <c r="CS7" s="205">
        <f t="shared" si="3"/>
        <v>11872.000000000002</v>
      </c>
      <c r="CT7" s="205">
        <f t="shared" si="3"/>
        <v>23654.400000000005</v>
      </c>
      <c r="CU7" s="205">
        <f t="shared" si="3"/>
        <v>23654.400000000005</v>
      </c>
      <c r="CV7" s="205">
        <f t="shared" si="3"/>
        <v>23654.400000000005</v>
      </c>
      <c r="CW7" s="205">
        <f t="shared" si="3"/>
        <v>23654.400000000005</v>
      </c>
      <c r="CX7" s="205">
        <f t="shared" si="3"/>
        <v>23654.400000000005</v>
      </c>
      <c r="CY7" s="205">
        <f t="shared" si="3"/>
        <v>23654.400000000005</v>
      </c>
      <c r="CZ7" s="205">
        <f t="shared" si="3"/>
        <v>23654.400000000005</v>
      </c>
      <c r="DA7" s="205">
        <f t="shared" si="3"/>
        <v>23654.400000000005</v>
      </c>
      <c r="DB7" s="205"/>
    </row>
    <row r="8" spans="1:106">
      <c r="A8" s="202" t="str">
        <f>Income!A77</f>
        <v>Wild foods consumed and sold</v>
      </c>
      <c r="B8" s="204">
        <f>Income!B77</f>
        <v>0</v>
      </c>
      <c r="C8" s="204">
        <f>Income!C77</f>
        <v>0</v>
      </c>
      <c r="D8" s="204">
        <f>Income!D77</f>
        <v>0</v>
      </c>
      <c r="E8" s="204">
        <f>Income!E77</f>
        <v>0</v>
      </c>
      <c r="F8" s="205">
        <f t="shared" si="4"/>
        <v>0</v>
      </c>
      <c r="G8" s="205">
        <f t="shared" si="4"/>
        <v>0</v>
      </c>
      <c r="H8" s="205">
        <f t="shared" si="4"/>
        <v>0</v>
      </c>
      <c r="I8" s="205">
        <f t="shared" si="4"/>
        <v>0</v>
      </c>
      <c r="J8" s="205">
        <f t="shared" si="4"/>
        <v>0</v>
      </c>
      <c r="K8" s="205">
        <f t="shared" si="4"/>
        <v>0</v>
      </c>
      <c r="L8" s="205">
        <f t="shared" si="4"/>
        <v>0</v>
      </c>
      <c r="M8" s="205">
        <f t="shared" si="4"/>
        <v>0</v>
      </c>
      <c r="N8" s="205">
        <f t="shared" si="4"/>
        <v>0</v>
      </c>
      <c r="O8" s="205">
        <f t="shared" si="4"/>
        <v>0</v>
      </c>
      <c r="P8" s="205">
        <f t="shared" si="4"/>
        <v>0</v>
      </c>
      <c r="Q8" s="205">
        <f t="shared" si="4"/>
        <v>0</v>
      </c>
      <c r="R8" s="205">
        <f t="shared" si="4"/>
        <v>0</v>
      </c>
      <c r="S8" s="205">
        <f t="shared" si="4"/>
        <v>0</v>
      </c>
      <c r="T8" s="205">
        <f t="shared" si="4"/>
        <v>0</v>
      </c>
      <c r="U8" s="205">
        <f t="shared" si="4"/>
        <v>0</v>
      </c>
      <c r="V8" s="205">
        <f t="shared" ref="V8:AK18" si="6">IF(V$2&lt;=($B$2+$C$2+$D$2),IF(V$2&lt;=($B$2+$C$2),IF(V$2&lt;=$B$2,$B8,$C8),$D8),$E8)</f>
        <v>0</v>
      </c>
      <c r="W8" s="205">
        <f t="shared" si="6"/>
        <v>0</v>
      </c>
      <c r="X8" s="205">
        <f t="shared" si="6"/>
        <v>0</v>
      </c>
      <c r="Y8" s="205">
        <f t="shared" si="6"/>
        <v>0</v>
      </c>
      <c r="Z8" s="205">
        <f t="shared" si="6"/>
        <v>0</v>
      </c>
      <c r="AA8" s="205">
        <f t="shared" si="6"/>
        <v>0</v>
      </c>
      <c r="AB8" s="205">
        <f t="shared" si="6"/>
        <v>0</v>
      </c>
      <c r="AC8" s="205">
        <f t="shared" si="6"/>
        <v>0</v>
      </c>
      <c r="AD8" s="205">
        <f t="shared" si="6"/>
        <v>0</v>
      </c>
      <c r="AE8" s="205">
        <f t="shared" si="6"/>
        <v>0</v>
      </c>
      <c r="AF8" s="205">
        <f t="shared" si="6"/>
        <v>0</v>
      </c>
      <c r="AG8" s="205">
        <f t="shared" si="6"/>
        <v>0</v>
      </c>
      <c r="AH8" s="205">
        <f t="shared" si="6"/>
        <v>0</v>
      </c>
      <c r="AI8" s="205">
        <f t="shared" si="6"/>
        <v>0</v>
      </c>
      <c r="AJ8" s="205">
        <f t="shared" si="6"/>
        <v>0</v>
      </c>
      <c r="AK8" s="205">
        <f t="shared" si="6"/>
        <v>0</v>
      </c>
      <c r="AL8" s="205">
        <f t="shared" ref="AL8:BA18" si="7">IF(AL$2&lt;=($B$2+$C$2+$D$2),IF(AL$2&lt;=($B$2+$C$2),IF(AL$2&lt;=$B$2,$B8,$C8),$D8),$E8)</f>
        <v>0</v>
      </c>
      <c r="AM8" s="205">
        <f t="shared" si="7"/>
        <v>0</v>
      </c>
      <c r="AN8" s="205">
        <f t="shared" si="7"/>
        <v>0</v>
      </c>
      <c r="AO8" s="205">
        <f t="shared" si="7"/>
        <v>0</v>
      </c>
      <c r="AP8" s="205">
        <f t="shared" si="7"/>
        <v>0</v>
      </c>
      <c r="AQ8" s="205">
        <f t="shared" si="7"/>
        <v>0</v>
      </c>
      <c r="AR8" s="205">
        <f t="shared" si="7"/>
        <v>0</v>
      </c>
      <c r="AS8" s="205">
        <f t="shared" si="7"/>
        <v>0</v>
      </c>
      <c r="AT8" s="205">
        <f t="shared" si="7"/>
        <v>0</v>
      </c>
      <c r="AU8" s="205">
        <f t="shared" si="7"/>
        <v>0</v>
      </c>
      <c r="AV8" s="205">
        <f t="shared" si="7"/>
        <v>0</v>
      </c>
      <c r="AW8" s="205">
        <f t="shared" si="7"/>
        <v>0</v>
      </c>
      <c r="AX8" s="205">
        <f t="shared" si="7"/>
        <v>0</v>
      </c>
      <c r="AY8" s="205">
        <f t="shared" si="7"/>
        <v>0</v>
      </c>
      <c r="AZ8" s="205">
        <f t="shared" si="7"/>
        <v>0</v>
      </c>
      <c r="BA8" s="205">
        <f t="shared" si="7"/>
        <v>0</v>
      </c>
      <c r="BB8" s="205">
        <f t="shared" si="5"/>
        <v>0</v>
      </c>
      <c r="BC8" s="205">
        <f t="shared" si="5"/>
        <v>0</v>
      </c>
      <c r="BD8" s="205">
        <f t="shared" si="5"/>
        <v>0</v>
      </c>
      <c r="BE8" s="205">
        <f t="shared" si="5"/>
        <v>0</v>
      </c>
      <c r="BF8" s="205">
        <f t="shared" si="5"/>
        <v>0</v>
      </c>
      <c r="BG8" s="205">
        <f t="shared" si="5"/>
        <v>0</v>
      </c>
      <c r="BH8" s="205">
        <f t="shared" si="5"/>
        <v>0</v>
      </c>
      <c r="BI8" s="205">
        <f t="shared" si="5"/>
        <v>0</v>
      </c>
      <c r="BJ8" s="205">
        <f t="shared" si="5"/>
        <v>0</v>
      </c>
      <c r="BK8" s="205">
        <f t="shared" si="1"/>
        <v>0</v>
      </c>
      <c r="BL8" s="205">
        <f t="shared" si="1"/>
        <v>0</v>
      </c>
      <c r="BM8" s="205">
        <f t="shared" si="1"/>
        <v>0</v>
      </c>
      <c r="BN8" s="205">
        <f t="shared" si="1"/>
        <v>0</v>
      </c>
      <c r="BO8" s="205">
        <f t="shared" si="1"/>
        <v>0</v>
      </c>
      <c r="BP8" s="205">
        <f t="shared" si="1"/>
        <v>0</v>
      </c>
      <c r="BQ8" s="205">
        <f t="shared" si="1"/>
        <v>0</v>
      </c>
      <c r="BR8" s="205">
        <f t="shared" si="1"/>
        <v>0</v>
      </c>
      <c r="BS8" s="205">
        <f t="shared" si="1"/>
        <v>0</v>
      </c>
      <c r="BT8" s="205">
        <f t="shared" si="1"/>
        <v>0</v>
      </c>
      <c r="BU8" s="205">
        <f t="shared" si="1"/>
        <v>0</v>
      </c>
      <c r="BV8" s="205">
        <f t="shared" si="1"/>
        <v>0</v>
      </c>
      <c r="BW8" s="205">
        <f t="shared" si="1"/>
        <v>0</v>
      </c>
      <c r="BX8" s="205">
        <f t="shared" si="1"/>
        <v>0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9858.2400000000016</v>
      </c>
      <c r="C9" s="204">
        <f>Income!C78</f>
        <v>14464.800000000003</v>
      </c>
      <c r="D9" s="204">
        <f>Income!D78</f>
        <v>840</v>
      </c>
      <c r="E9" s="204">
        <f>Income!E78</f>
        <v>0</v>
      </c>
      <c r="F9" s="205">
        <f t="shared" si="4"/>
        <v>9858.2400000000016</v>
      </c>
      <c r="G9" s="205">
        <f t="shared" si="4"/>
        <v>9858.2400000000016</v>
      </c>
      <c r="H9" s="205">
        <f t="shared" si="4"/>
        <v>9858.2400000000016</v>
      </c>
      <c r="I9" s="205">
        <f t="shared" si="4"/>
        <v>9858.2400000000016</v>
      </c>
      <c r="J9" s="205">
        <f t="shared" si="4"/>
        <v>9858.2400000000016</v>
      </c>
      <c r="K9" s="205">
        <f t="shared" si="4"/>
        <v>9858.2400000000016</v>
      </c>
      <c r="L9" s="205">
        <f t="shared" si="4"/>
        <v>9858.2400000000016</v>
      </c>
      <c r="M9" s="205">
        <f t="shared" si="4"/>
        <v>9858.2400000000016</v>
      </c>
      <c r="N9" s="205">
        <f t="shared" si="4"/>
        <v>9858.2400000000016</v>
      </c>
      <c r="O9" s="205">
        <f t="shared" si="4"/>
        <v>9858.2400000000016</v>
      </c>
      <c r="P9" s="205">
        <f t="shared" si="4"/>
        <v>9858.2400000000016</v>
      </c>
      <c r="Q9" s="205">
        <f t="shared" si="4"/>
        <v>9858.2400000000016</v>
      </c>
      <c r="R9" s="205">
        <f t="shared" si="4"/>
        <v>9858.2400000000016</v>
      </c>
      <c r="S9" s="205">
        <f t="shared" si="4"/>
        <v>9858.2400000000016</v>
      </c>
      <c r="T9" s="205">
        <f t="shared" si="4"/>
        <v>9858.2400000000016</v>
      </c>
      <c r="U9" s="205">
        <f t="shared" si="4"/>
        <v>9858.2400000000016</v>
      </c>
      <c r="V9" s="205">
        <f t="shared" si="6"/>
        <v>9858.2400000000016</v>
      </c>
      <c r="W9" s="205">
        <f t="shared" si="6"/>
        <v>9858.2400000000016</v>
      </c>
      <c r="X9" s="205">
        <f t="shared" si="6"/>
        <v>9858.2400000000016</v>
      </c>
      <c r="Y9" s="205">
        <f t="shared" si="6"/>
        <v>9858.2400000000016</v>
      </c>
      <c r="Z9" s="205">
        <f t="shared" si="6"/>
        <v>9858.2400000000016</v>
      </c>
      <c r="AA9" s="205">
        <f t="shared" si="6"/>
        <v>9858.2400000000016</v>
      </c>
      <c r="AB9" s="205">
        <f t="shared" si="6"/>
        <v>9858.2400000000016</v>
      </c>
      <c r="AC9" s="205">
        <f t="shared" si="6"/>
        <v>9858.2400000000016</v>
      </c>
      <c r="AD9" s="205">
        <f t="shared" si="6"/>
        <v>9858.2400000000016</v>
      </c>
      <c r="AE9" s="205">
        <f t="shared" si="6"/>
        <v>9858.2400000000016</v>
      </c>
      <c r="AF9" s="205">
        <f t="shared" si="6"/>
        <v>9858.2400000000016</v>
      </c>
      <c r="AG9" s="205">
        <f t="shared" si="6"/>
        <v>9858.2400000000016</v>
      </c>
      <c r="AH9" s="205">
        <f t="shared" si="6"/>
        <v>9858.2400000000016</v>
      </c>
      <c r="AI9" s="205">
        <f t="shared" si="6"/>
        <v>9858.2400000000016</v>
      </c>
      <c r="AJ9" s="205">
        <f t="shared" si="6"/>
        <v>9858.2400000000016</v>
      </c>
      <c r="AK9" s="205">
        <f t="shared" si="6"/>
        <v>9858.2400000000016</v>
      </c>
      <c r="AL9" s="205">
        <f t="shared" si="7"/>
        <v>9858.2400000000016</v>
      </c>
      <c r="AM9" s="205">
        <f t="shared" si="7"/>
        <v>9858.2400000000016</v>
      </c>
      <c r="AN9" s="205">
        <f t="shared" si="7"/>
        <v>9858.2400000000016</v>
      </c>
      <c r="AO9" s="205">
        <f t="shared" si="7"/>
        <v>9858.2400000000016</v>
      </c>
      <c r="AP9" s="205">
        <f t="shared" si="7"/>
        <v>9858.2400000000016</v>
      </c>
      <c r="AQ9" s="205">
        <f t="shared" si="7"/>
        <v>9858.2400000000016</v>
      </c>
      <c r="AR9" s="205">
        <f t="shared" si="7"/>
        <v>9858.2400000000016</v>
      </c>
      <c r="AS9" s="205">
        <f t="shared" si="7"/>
        <v>9858.2400000000016</v>
      </c>
      <c r="AT9" s="205">
        <f t="shared" si="7"/>
        <v>14464.800000000003</v>
      </c>
      <c r="AU9" s="205">
        <f t="shared" si="7"/>
        <v>14464.800000000003</v>
      </c>
      <c r="AV9" s="205">
        <f t="shared" si="7"/>
        <v>14464.800000000003</v>
      </c>
      <c r="AW9" s="205">
        <f t="shared" si="7"/>
        <v>14464.800000000003</v>
      </c>
      <c r="AX9" s="205">
        <f t="shared" si="1"/>
        <v>14464.800000000003</v>
      </c>
      <c r="AY9" s="205">
        <f t="shared" si="1"/>
        <v>14464.800000000003</v>
      </c>
      <c r="AZ9" s="205">
        <f t="shared" si="1"/>
        <v>14464.800000000003</v>
      </c>
      <c r="BA9" s="205">
        <f t="shared" si="1"/>
        <v>14464.800000000003</v>
      </c>
      <c r="BB9" s="205">
        <f t="shared" si="1"/>
        <v>14464.800000000003</v>
      </c>
      <c r="BC9" s="205">
        <f t="shared" si="1"/>
        <v>14464.800000000003</v>
      </c>
      <c r="BD9" s="205">
        <f t="shared" si="1"/>
        <v>14464.800000000003</v>
      </c>
      <c r="BE9" s="205">
        <f t="shared" si="1"/>
        <v>14464.800000000003</v>
      </c>
      <c r="BF9" s="205">
        <f t="shared" si="1"/>
        <v>14464.800000000003</v>
      </c>
      <c r="BG9" s="205">
        <f t="shared" si="1"/>
        <v>14464.800000000003</v>
      </c>
      <c r="BH9" s="205">
        <f t="shared" si="1"/>
        <v>14464.800000000003</v>
      </c>
      <c r="BI9" s="205">
        <f t="shared" si="1"/>
        <v>14464.800000000003</v>
      </c>
      <c r="BJ9" s="205">
        <f t="shared" si="1"/>
        <v>14464.800000000003</v>
      </c>
      <c r="BK9" s="205">
        <f t="shared" si="1"/>
        <v>14464.800000000003</v>
      </c>
      <c r="BL9" s="205">
        <f t="shared" si="1"/>
        <v>14464.800000000003</v>
      </c>
      <c r="BM9" s="205">
        <f t="shared" si="1"/>
        <v>14464.800000000003</v>
      </c>
      <c r="BN9" s="205">
        <f t="shared" si="1"/>
        <v>14464.800000000003</v>
      </c>
      <c r="BO9" s="205">
        <f t="shared" si="1"/>
        <v>14464.800000000003</v>
      </c>
      <c r="BP9" s="205">
        <f t="shared" si="1"/>
        <v>14464.800000000003</v>
      </c>
      <c r="BQ9" s="205">
        <f t="shared" si="1"/>
        <v>14464.800000000003</v>
      </c>
      <c r="BR9" s="205">
        <f t="shared" si="1"/>
        <v>14464.800000000003</v>
      </c>
      <c r="BS9" s="205">
        <f t="shared" si="1"/>
        <v>14464.800000000003</v>
      </c>
      <c r="BT9" s="205">
        <f t="shared" si="1"/>
        <v>14464.800000000003</v>
      </c>
      <c r="BU9" s="205">
        <f t="shared" si="1"/>
        <v>14464.800000000003</v>
      </c>
      <c r="BV9" s="205">
        <f t="shared" si="1"/>
        <v>14464.800000000003</v>
      </c>
      <c r="BW9" s="205">
        <f t="shared" si="1"/>
        <v>14464.800000000003</v>
      </c>
      <c r="BX9" s="205">
        <f t="shared" si="1"/>
        <v>14464.800000000003</v>
      </c>
      <c r="BY9" s="205">
        <f t="shared" si="1"/>
        <v>14464.800000000003</v>
      </c>
      <c r="BZ9" s="205">
        <f t="shared" si="1"/>
        <v>14464.800000000003</v>
      </c>
      <c r="CA9" s="205">
        <f t="shared" si="2"/>
        <v>14464.800000000003</v>
      </c>
      <c r="CB9" s="205">
        <f t="shared" si="2"/>
        <v>840</v>
      </c>
      <c r="CC9" s="205">
        <f t="shared" si="2"/>
        <v>840</v>
      </c>
      <c r="CD9" s="205">
        <f t="shared" si="2"/>
        <v>840</v>
      </c>
      <c r="CE9" s="205">
        <f t="shared" si="2"/>
        <v>840</v>
      </c>
      <c r="CF9" s="205">
        <f t="shared" si="2"/>
        <v>840</v>
      </c>
      <c r="CG9" s="205">
        <f t="shared" si="2"/>
        <v>840</v>
      </c>
      <c r="CH9" s="205">
        <f t="shared" si="2"/>
        <v>840</v>
      </c>
      <c r="CI9" s="205">
        <f t="shared" si="2"/>
        <v>840</v>
      </c>
      <c r="CJ9" s="205">
        <f t="shared" si="2"/>
        <v>840</v>
      </c>
      <c r="CK9" s="205">
        <f t="shared" si="2"/>
        <v>840</v>
      </c>
      <c r="CL9" s="205">
        <f t="shared" si="2"/>
        <v>840</v>
      </c>
      <c r="CM9" s="205">
        <f t="shared" si="2"/>
        <v>840</v>
      </c>
      <c r="CN9" s="205">
        <f t="shared" si="2"/>
        <v>840</v>
      </c>
      <c r="CO9" s="205">
        <f t="shared" si="2"/>
        <v>840</v>
      </c>
      <c r="CP9" s="205">
        <f t="shared" si="2"/>
        <v>840</v>
      </c>
      <c r="CQ9" s="205">
        <f t="shared" si="2"/>
        <v>840</v>
      </c>
      <c r="CR9" s="205">
        <f t="shared" si="2"/>
        <v>840</v>
      </c>
      <c r="CS9" s="205">
        <f t="shared" si="3"/>
        <v>840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89376.000000000015</v>
      </c>
      <c r="E10" s="204">
        <f>Income!E79</f>
        <v>354816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0</v>
      </c>
      <c r="BZ10" s="205">
        <f t="shared" si="8"/>
        <v>0</v>
      </c>
      <c r="CA10" s="205">
        <f t="shared" si="2"/>
        <v>0</v>
      </c>
      <c r="CB10" s="205">
        <f t="shared" si="2"/>
        <v>89376.000000000015</v>
      </c>
      <c r="CC10" s="205">
        <f t="shared" si="2"/>
        <v>89376.000000000015</v>
      </c>
      <c r="CD10" s="205">
        <f t="shared" si="2"/>
        <v>89376.000000000015</v>
      </c>
      <c r="CE10" s="205">
        <f t="shared" si="2"/>
        <v>89376.000000000015</v>
      </c>
      <c r="CF10" s="205">
        <f t="shared" si="2"/>
        <v>89376.000000000015</v>
      </c>
      <c r="CG10" s="205">
        <f t="shared" si="2"/>
        <v>89376.000000000015</v>
      </c>
      <c r="CH10" s="205">
        <f t="shared" si="2"/>
        <v>89376.000000000015</v>
      </c>
      <c r="CI10" s="205">
        <f t="shared" si="2"/>
        <v>89376.000000000015</v>
      </c>
      <c r="CJ10" s="205">
        <f t="shared" si="2"/>
        <v>89376.000000000015</v>
      </c>
      <c r="CK10" s="205">
        <f t="shared" si="2"/>
        <v>89376.000000000015</v>
      </c>
      <c r="CL10" s="205">
        <f t="shared" si="2"/>
        <v>89376.000000000015</v>
      </c>
      <c r="CM10" s="205">
        <f t="shared" si="2"/>
        <v>89376.000000000015</v>
      </c>
      <c r="CN10" s="205">
        <f t="shared" si="2"/>
        <v>89376.000000000015</v>
      </c>
      <c r="CO10" s="205">
        <f t="shared" si="2"/>
        <v>89376.000000000015</v>
      </c>
      <c r="CP10" s="205">
        <f t="shared" si="2"/>
        <v>89376.000000000015</v>
      </c>
      <c r="CQ10" s="205">
        <f t="shared" si="2"/>
        <v>89376.000000000015</v>
      </c>
      <c r="CR10" s="205">
        <f t="shared" si="2"/>
        <v>89376.000000000015</v>
      </c>
      <c r="CS10" s="205">
        <f t="shared" si="3"/>
        <v>89376.000000000015</v>
      </c>
      <c r="CT10" s="205">
        <f t="shared" si="3"/>
        <v>354816</v>
      </c>
      <c r="CU10" s="205">
        <f t="shared" si="3"/>
        <v>354816</v>
      </c>
      <c r="CV10" s="205">
        <f t="shared" si="3"/>
        <v>354816</v>
      </c>
      <c r="CW10" s="205">
        <f t="shared" si="3"/>
        <v>354816</v>
      </c>
      <c r="CX10" s="205">
        <f t="shared" si="3"/>
        <v>354816</v>
      </c>
      <c r="CY10" s="205">
        <f t="shared" si="3"/>
        <v>354816</v>
      </c>
      <c r="CZ10" s="205">
        <f t="shared" si="3"/>
        <v>354816</v>
      </c>
      <c r="DA10" s="205">
        <f t="shared" si="3"/>
        <v>354816</v>
      </c>
      <c r="DB10" s="205"/>
    </row>
    <row r="11" spans="1:106">
      <c r="A11" s="202" t="str">
        <f>Income!A81</f>
        <v>Self - employment</v>
      </c>
      <c r="B11" s="204">
        <f>Income!B81</f>
        <v>6773.76</v>
      </c>
      <c r="C11" s="204">
        <f>Income!C81</f>
        <v>5644.8</v>
      </c>
      <c r="D11" s="204">
        <f>Income!D81</f>
        <v>34182.400000000001</v>
      </c>
      <c r="E11" s="204">
        <f>Income!E81</f>
        <v>0</v>
      </c>
      <c r="F11" s="205">
        <f t="shared" si="4"/>
        <v>6773.76</v>
      </c>
      <c r="G11" s="205">
        <f t="shared" si="4"/>
        <v>6773.76</v>
      </c>
      <c r="H11" s="205">
        <f t="shared" si="4"/>
        <v>6773.76</v>
      </c>
      <c r="I11" s="205">
        <f t="shared" si="4"/>
        <v>6773.76</v>
      </c>
      <c r="J11" s="205">
        <f t="shared" si="4"/>
        <v>6773.76</v>
      </c>
      <c r="K11" s="205">
        <f t="shared" si="4"/>
        <v>6773.76</v>
      </c>
      <c r="L11" s="205">
        <f t="shared" si="4"/>
        <v>6773.76</v>
      </c>
      <c r="M11" s="205">
        <f t="shared" si="4"/>
        <v>6773.76</v>
      </c>
      <c r="N11" s="205">
        <f t="shared" si="4"/>
        <v>6773.76</v>
      </c>
      <c r="O11" s="205">
        <f t="shared" si="4"/>
        <v>6773.76</v>
      </c>
      <c r="P11" s="205">
        <f t="shared" si="4"/>
        <v>6773.76</v>
      </c>
      <c r="Q11" s="205">
        <f t="shared" si="4"/>
        <v>6773.76</v>
      </c>
      <c r="R11" s="205">
        <f t="shared" si="4"/>
        <v>6773.76</v>
      </c>
      <c r="S11" s="205">
        <f t="shared" si="4"/>
        <v>6773.76</v>
      </c>
      <c r="T11" s="205">
        <f t="shared" si="4"/>
        <v>6773.76</v>
      </c>
      <c r="U11" s="205">
        <f t="shared" si="4"/>
        <v>6773.76</v>
      </c>
      <c r="V11" s="205">
        <f t="shared" si="6"/>
        <v>6773.76</v>
      </c>
      <c r="W11" s="205">
        <f t="shared" si="6"/>
        <v>6773.76</v>
      </c>
      <c r="X11" s="205">
        <f t="shared" si="6"/>
        <v>6773.76</v>
      </c>
      <c r="Y11" s="205">
        <f t="shared" si="6"/>
        <v>6773.76</v>
      </c>
      <c r="Z11" s="205">
        <f t="shared" si="6"/>
        <v>6773.76</v>
      </c>
      <c r="AA11" s="205">
        <f t="shared" si="6"/>
        <v>6773.76</v>
      </c>
      <c r="AB11" s="205">
        <f t="shared" si="6"/>
        <v>6773.76</v>
      </c>
      <c r="AC11" s="205">
        <f t="shared" si="6"/>
        <v>6773.76</v>
      </c>
      <c r="AD11" s="205">
        <f t="shared" si="6"/>
        <v>6773.76</v>
      </c>
      <c r="AE11" s="205">
        <f t="shared" si="6"/>
        <v>6773.76</v>
      </c>
      <c r="AF11" s="205">
        <f t="shared" si="6"/>
        <v>6773.76</v>
      </c>
      <c r="AG11" s="205">
        <f t="shared" si="6"/>
        <v>6773.76</v>
      </c>
      <c r="AH11" s="205">
        <f t="shared" si="6"/>
        <v>6773.76</v>
      </c>
      <c r="AI11" s="205">
        <f t="shared" si="6"/>
        <v>6773.76</v>
      </c>
      <c r="AJ11" s="205">
        <f t="shared" si="6"/>
        <v>6773.76</v>
      </c>
      <c r="AK11" s="205">
        <f t="shared" si="6"/>
        <v>6773.76</v>
      </c>
      <c r="AL11" s="205">
        <f t="shared" si="7"/>
        <v>6773.76</v>
      </c>
      <c r="AM11" s="205">
        <f t="shared" si="7"/>
        <v>6773.76</v>
      </c>
      <c r="AN11" s="205">
        <f t="shared" si="7"/>
        <v>6773.76</v>
      </c>
      <c r="AO11" s="205">
        <f t="shared" si="7"/>
        <v>6773.76</v>
      </c>
      <c r="AP11" s="205">
        <f t="shared" si="7"/>
        <v>6773.76</v>
      </c>
      <c r="AQ11" s="205">
        <f t="shared" si="7"/>
        <v>6773.76</v>
      </c>
      <c r="AR11" s="205">
        <f t="shared" si="7"/>
        <v>6773.76</v>
      </c>
      <c r="AS11" s="205">
        <f t="shared" si="7"/>
        <v>6773.76</v>
      </c>
      <c r="AT11" s="205">
        <f t="shared" si="7"/>
        <v>5644.8</v>
      </c>
      <c r="AU11" s="205">
        <f t="shared" si="7"/>
        <v>5644.8</v>
      </c>
      <c r="AV11" s="205">
        <f t="shared" si="7"/>
        <v>5644.8</v>
      </c>
      <c r="AW11" s="205">
        <f t="shared" si="7"/>
        <v>5644.8</v>
      </c>
      <c r="AX11" s="205">
        <f t="shared" si="8"/>
        <v>5644.8</v>
      </c>
      <c r="AY11" s="205">
        <f t="shared" si="8"/>
        <v>5644.8</v>
      </c>
      <c r="AZ11" s="205">
        <f t="shared" si="8"/>
        <v>5644.8</v>
      </c>
      <c r="BA11" s="205">
        <f t="shared" si="8"/>
        <v>5644.8</v>
      </c>
      <c r="BB11" s="205">
        <f t="shared" si="8"/>
        <v>5644.8</v>
      </c>
      <c r="BC11" s="205">
        <f t="shared" si="8"/>
        <v>5644.8</v>
      </c>
      <c r="BD11" s="205">
        <f t="shared" si="8"/>
        <v>5644.8</v>
      </c>
      <c r="BE11" s="205">
        <f t="shared" si="8"/>
        <v>5644.8</v>
      </c>
      <c r="BF11" s="205">
        <f t="shared" si="8"/>
        <v>5644.8</v>
      </c>
      <c r="BG11" s="205">
        <f t="shared" si="8"/>
        <v>5644.8</v>
      </c>
      <c r="BH11" s="205">
        <f t="shared" si="8"/>
        <v>5644.8</v>
      </c>
      <c r="BI11" s="205">
        <f t="shared" si="8"/>
        <v>5644.8</v>
      </c>
      <c r="BJ11" s="205">
        <f t="shared" si="8"/>
        <v>5644.8</v>
      </c>
      <c r="BK11" s="205">
        <f t="shared" si="8"/>
        <v>5644.8</v>
      </c>
      <c r="BL11" s="205">
        <f t="shared" si="8"/>
        <v>5644.8</v>
      </c>
      <c r="BM11" s="205">
        <f t="shared" si="8"/>
        <v>5644.8</v>
      </c>
      <c r="BN11" s="205">
        <f t="shared" si="8"/>
        <v>5644.8</v>
      </c>
      <c r="BO11" s="205">
        <f t="shared" si="8"/>
        <v>5644.8</v>
      </c>
      <c r="BP11" s="205">
        <f t="shared" si="8"/>
        <v>5644.8</v>
      </c>
      <c r="BQ11" s="205">
        <f t="shared" si="8"/>
        <v>5644.8</v>
      </c>
      <c r="BR11" s="205">
        <f t="shared" si="8"/>
        <v>5644.8</v>
      </c>
      <c r="BS11" s="205">
        <f t="shared" si="8"/>
        <v>5644.8</v>
      </c>
      <c r="BT11" s="205">
        <f t="shared" si="8"/>
        <v>5644.8</v>
      </c>
      <c r="BU11" s="205">
        <f t="shared" si="8"/>
        <v>5644.8</v>
      </c>
      <c r="BV11" s="205">
        <f t="shared" si="8"/>
        <v>5644.8</v>
      </c>
      <c r="BW11" s="205">
        <f t="shared" si="8"/>
        <v>5644.8</v>
      </c>
      <c r="BX11" s="205">
        <f t="shared" si="8"/>
        <v>5644.8</v>
      </c>
      <c r="BY11" s="205">
        <f t="shared" si="8"/>
        <v>5644.8</v>
      </c>
      <c r="BZ11" s="205">
        <f t="shared" si="8"/>
        <v>5644.8</v>
      </c>
      <c r="CA11" s="205">
        <f t="shared" si="2"/>
        <v>5644.8</v>
      </c>
      <c r="CB11" s="205">
        <f t="shared" si="2"/>
        <v>34182.400000000001</v>
      </c>
      <c r="CC11" s="205">
        <f t="shared" si="2"/>
        <v>34182.400000000001</v>
      </c>
      <c r="CD11" s="205">
        <f t="shared" si="2"/>
        <v>34182.400000000001</v>
      </c>
      <c r="CE11" s="205">
        <f t="shared" si="2"/>
        <v>34182.400000000001</v>
      </c>
      <c r="CF11" s="205">
        <f t="shared" si="2"/>
        <v>34182.400000000001</v>
      </c>
      <c r="CG11" s="205">
        <f t="shared" si="2"/>
        <v>34182.400000000001</v>
      </c>
      <c r="CH11" s="205">
        <f t="shared" si="2"/>
        <v>34182.400000000001</v>
      </c>
      <c r="CI11" s="205">
        <f t="shared" si="2"/>
        <v>34182.400000000001</v>
      </c>
      <c r="CJ11" s="205">
        <f t="shared" si="2"/>
        <v>34182.400000000001</v>
      </c>
      <c r="CK11" s="205">
        <f t="shared" si="2"/>
        <v>34182.400000000001</v>
      </c>
      <c r="CL11" s="205">
        <f t="shared" si="2"/>
        <v>34182.400000000001</v>
      </c>
      <c r="CM11" s="205">
        <f t="shared" si="2"/>
        <v>34182.400000000001</v>
      </c>
      <c r="CN11" s="205">
        <f t="shared" si="2"/>
        <v>34182.400000000001</v>
      </c>
      <c r="CO11" s="205">
        <f t="shared" si="2"/>
        <v>34182.400000000001</v>
      </c>
      <c r="CP11" s="205">
        <f t="shared" si="2"/>
        <v>34182.400000000001</v>
      </c>
      <c r="CQ11" s="205">
        <f t="shared" si="2"/>
        <v>34182.400000000001</v>
      </c>
      <c r="CR11" s="205">
        <f t="shared" si="2"/>
        <v>34182.400000000001</v>
      </c>
      <c r="CS11" s="205">
        <f t="shared" si="3"/>
        <v>34182.400000000001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4032.0000000000005</v>
      </c>
      <c r="D12" s="204">
        <f>Income!D82</f>
        <v>6854.4000000000005</v>
      </c>
      <c r="E12" s="204">
        <f>Income!E82</f>
        <v>62899.200000000012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4032.0000000000005</v>
      </c>
      <c r="AU12" s="205">
        <f t="shared" si="7"/>
        <v>4032.0000000000005</v>
      </c>
      <c r="AV12" s="205">
        <f t="shared" si="7"/>
        <v>4032.0000000000005</v>
      </c>
      <c r="AW12" s="205">
        <f t="shared" si="7"/>
        <v>4032.0000000000005</v>
      </c>
      <c r="AX12" s="205">
        <f t="shared" si="8"/>
        <v>4032.0000000000005</v>
      </c>
      <c r="AY12" s="205">
        <f t="shared" si="8"/>
        <v>4032.0000000000005</v>
      </c>
      <c r="AZ12" s="205">
        <f t="shared" si="8"/>
        <v>4032.0000000000005</v>
      </c>
      <c r="BA12" s="205">
        <f t="shared" si="8"/>
        <v>4032.0000000000005</v>
      </c>
      <c r="BB12" s="205">
        <f t="shared" si="8"/>
        <v>4032.0000000000005</v>
      </c>
      <c r="BC12" s="205">
        <f t="shared" si="8"/>
        <v>4032.0000000000005</v>
      </c>
      <c r="BD12" s="205">
        <f t="shared" si="8"/>
        <v>4032.0000000000005</v>
      </c>
      <c r="BE12" s="205">
        <f t="shared" si="8"/>
        <v>4032.0000000000005</v>
      </c>
      <c r="BF12" s="205">
        <f t="shared" si="8"/>
        <v>4032.0000000000005</v>
      </c>
      <c r="BG12" s="205">
        <f t="shared" si="8"/>
        <v>4032.0000000000005</v>
      </c>
      <c r="BH12" s="205">
        <f t="shared" si="8"/>
        <v>4032.0000000000005</v>
      </c>
      <c r="BI12" s="205">
        <f t="shared" si="8"/>
        <v>4032.0000000000005</v>
      </c>
      <c r="BJ12" s="205">
        <f t="shared" si="8"/>
        <v>4032.0000000000005</v>
      </c>
      <c r="BK12" s="205">
        <f t="shared" si="8"/>
        <v>4032.0000000000005</v>
      </c>
      <c r="BL12" s="205">
        <f t="shared" si="8"/>
        <v>4032.0000000000005</v>
      </c>
      <c r="BM12" s="205">
        <f t="shared" si="8"/>
        <v>4032.0000000000005</v>
      </c>
      <c r="BN12" s="205">
        <f t="shared" si="8"/>
        <v>4032.0000000000005</v>
      </c>
      <c r="BO12" s="205">
        <f t="shared" si="8"/>
        <v>4032.0000000000005</v>
      </c>
      <c r="BP12" s="205">
        <f t="shared" si="8"/>
        <v>4032.0000000000005</v>
      </c>
      <c r="BQ12" s="205">
        <f t="shared" si="8"/>
        <v>4032.0000000000005</v>
      </c>
      <c r="BR12" s="205">
        <f t="shared" si="8"/>
        <v>4032.0000000000005</v>
      </c>
      <c r="BS12" s="205">
        <f t="shared" si="8"/>
        <v>4032.0000000000005</v>
      </c>
      <c r="BT12" s="205">
        <f t="shared" si="8"/>
        <v>4032.0000000000005</v>
      </c>
      <c r="BU12" s="205">
        <f t="shared" si="8"/>
        <v>4032.0000000000005</v>
      </c>
      <c r="BV12" s="205">
        <f t="shared" si="8"/>
        <v>4032.0000000000005</v>
      </c>
      <c r="BW12" s="205">
        <f t="shared" si="8"/>
        <v>4032.0000000000005</v>
      </c>
      <c r="BX12" s="205">
        <f t="shared" si="8"/>
        <v>4032.0000000000005</v>
      </c>
      <c r="BY12" s="205">
        <f t="shared" si="8"/>
        <v>4032.0000000000005</v>
      </c>
      <c r="BZ12" s="205">
        <f t="shared" si="8"/>
        <v>4032.0000000000005</v>
      </c>
      <c r="CA12" s="205">
        <f t="shared" si="2"/>
        <v>4032.0000000000005</v>
      </c>
      <c r="CB12" s="205">
        <f t="shared" si="2"/>
        <v>6854.4000000000005</v>
      </c>
      <c r="CC12" s="205">
        <f t="shared" si="2"/>
        <v>6854.4000000000005</v>
      </c>
      <c r="CD12" s="205">
        <f t="shared" si="2"/>
        <v>6854.4000000000005</v>
      </c>
      <c r="CE12" s="205">
        <f t="shared" si="2"/>
        <v>6854.4000000000005</v>
      </c>
      <c r="CF12" s="205">
        <f t="shared" si="2"/>
        <v>6854.4000000000005</v>
      </c>
      <c r="CG12" s="205">
        <f t="shared" si="2"/>
        <v>6854.4000000000005</v>
      </c>
      <c r="CH12" s="205">
        <f t="shared" si="2"/>
        <v>6854.4000000000005</v>
      </c>
      <c r="CI12" s="205">
        <f t="shared" si="2"/>
        <v>6854.4000000000005</v>
      </c>
      <c r="CJ12" s="205">
        <f t="shared" si="2"/>
        <v>6854.4000000000005</v>
      </c>
      <c r="CK12" s="205">
        <f t="shared" si="2"/>
        <v>6854.4000000000005</v>
      </c>
      <c r="CL12" s="205">
        <f t="shared" si="2"/>
        <v>6854.4000000000005</v>
      </c>
      <c r="CM12" s="205">
        <f t="shared" si="2"/>
        <v>6854.4000000000005</v>
      </c>
      <c r="CN12" s="205">
        <f t="shared" si="2"/>
        <v>6854.4000000000005</v>
      </c>
      <c r="CO12" s="205">
        <f t="shared" si="2"/>
        <v>6854.4000000000005</v>
      </c>
      <c r="CP12" s="205">
        <f t="shared" si="2"/>
        <v>6854.4000000000005</v>
      </c>
      <c r="CQ12" s="205">
        <f t="shared" si="2"/>
        <v>6854.4000000000005</v>
      </c>
      <c r="CR12" s="205">
        <f t="shared" si="2"/>
        <v>6854.4000000000005</v>
      </c>
      <c r="CS12" s="205">
        <f t="shared" si="3"/>
        <v>6854.4000000000005</v>
      </c>
      <c r="CT12" s="205">
        <f t="shared" si="3"/>
        <v>62899.200000000012</v>
      </c>
      <c r="CU12" s="205">
        <f t="shared" si="3"/>
        <v>62899.200000000012</v>
      </c>
      <c r="CV12" s="205">
        <f t="shared" si="3"/>
        <v>62899.200000000012</v>
      </c>
      <c r="CW12" s="205">
        <f t="shared" si="3"/>
        <v>62899.200000000012</v>
      </c>
      <c r="CX12" s="205">
        <f t="shared" si="3"/>
        <v>62899.200000000012</v>
      </c>
      <c r="CY12" s="205">
        <f t="shared" si="3"/>
        <v>62899.200000000012</v>
      </c>
      <c r="CZ12" s="205">
        <f t="shared" si="3"/>
        <v>62899.200000000012</v>
      </c>
      <c r="DA12" s="205">
        <f t="shared" si="3"/>
        <v>62899.200000000012</v>
      </c>
      <c r="DB12" s="205"/>
    </row>
    <row r="13" spans="1:106">
      <c r="A13" s="202" t="str">
        <f>Income!A83</f>
        <v>Food transfer - official</v>
      </c>
      <c r="B13" s="204">
        <f>Income!B83</f>
        <v>0</v>
      </c>
      <c r="C13" s="204">
        <f>Income!C83</f>
        <v>19.756243093922656</v>
      </c>
      <c r="D13" s="204">
        <f>Income!D83</f>
        <v>19.756243093922656</v>
      </c>
      <c r="E13" s="204">
        <f>Income!E83</f>
        <v>23.707491712707188</v>
      </c>
      <c r="F13" s="205">
        <f t="shared" si="4"/>
        <v>0</v>
      </c>
      <c r="G13" s="205">
        <f t="shared" si="4"/>
        <v>0</v>
      </c>
      <c r="H13" s="205">
        <f t="shared" si="4"/>
        <v>0</v>
      </c>
      <c r="I13" s="205">
        <f t="shared" si="4"/>
        <v>0</v>
      </c>
      <c r="J13" s="205">
        <f t="shared" si="4"/>
        <v>0</v>
      </c>
      <c r="K13" s="205">
        <f t="shared" si="4"/>
        <v>0</v>
      </c>
      <c r="L13" s="205">
        <f t="shared" si="4"/>
        <v>0</v>
      </c>
      <c r="M13" s="205">
        <f t="shared" si="4"/>
        <v>0</v>
      </c>
      <c r="N13" s="205">
        <f t="shared" si="4"/>
        <v>0</v>
      </c>
      <c r="O13" s="205">
        <f t="shared" si="4"/>
        <v>0</v>
      </c>
      <c r="P13" s="205">
        <f t="shared" si="4"/>
        <v>0</v>
      </c>
      <c r="Q13" s="205">
        <f t="shared" si="4"/>
        <v>0</v>
      </c>
      <c r="R13" s="205">
        <f t="shared" si="4"/>
        <v>0</v>
      </c>
      <c r="S13" s="205">
        <f t="shared" si="4"/>
        <v>0</v>
      </c>
      <c r="T13" s="205">
        <f t="shared" si="4"/>
        <v>0</v>
      </c>
      <c r="U13" s="205">
        <f t="shared" si="4"/>
        <v>0</v>
      </c>
      <c r="V13" s="205">
        <f t="shared" si="6"/>
        <v>0</v>
      </c>
      <c r="W13" s="205">
        <f t="shared" si="6"/>
        <v>0</v>
      </c>
      <c r="X13" s="205">
        <f t="shared" si="6"/>
        <v>0</v>
      </c>
      <c r="Y13" s="205">
        <f t="shared" si="6"/>
        <v>0</v>
      </c>
      <c r="Z13" s="205">
        <f t="shared" si="6"/>
        <v>0</v>
      </c>
      <c r="AA13" s="205">
        <f t="shared" si="6"/>
        <v>0</v>
      </c>
      <c r="AB13" s="205">
        <f t="shared" si="6"/>
        <v>0</v>
      </c>
      <c r="AC13" s="205">
        <f t="shared" si="6"/>
        <v>0</v>
      </c>
      <c r="AD13" s="205">
        <f t="shared" si="6"/>
        <v>0</v>
      </c>
      <c r="AE13" s="205">
        <f t="shared" si="6"/>
        <v>0</v>
      </c>
      <c r="AF13" s="205">
        <f t="shared" si="6"/>
        <v>0</v>
      </c>
      <c r="AG13" s="205">
        <f t="shared" si="6"/>
        <v>0</v>
      </c>
      <c r="AH13" s="205">
        <f t="shared" si="6"/>
        <v>0</v>
      </c>
      <c r="AI13" s="205">
        <f t="shared" si="6"/>
        <v>0</v>
      </c>
      <c r="AJ13" s="205">
        <f t="shared" si="6"/>
        <v>0</v>
      </c>
      <c r="AK13" s="205">
        <f t="shared" si="6"/>
        <v>0</v>
      </c>
      <c r="AL13" s="205">
        <f t="shared" si="7"/>
        <v>0</v>
      </c>
      <c r="AM13" s="205">
        <f t="shared" si="7"/>
        <v>0</v>
      </c>
      <c r="AN13" s="205">
        <f t="shared" si="7"/>
        <v>0</v>
      </c>
      <c r="AO13" s="205">
        <f t="shared" si="7"/>
        <v>0</v>
      </c>
      <c r="AP13" s="205">
        <f t="shared" si="7"/>
        <v>0</v>
      </c>
      <c r="AQ13" s="205">
        <f t="shared" si="7"/>
        <v>0</v>
      </c>
      <c r="AR13" s="205">
        <f t="shared" si="7"/>
        <v>0</v>
      </c>
      <c r="AS13" s="205">
        <f t="shared" si="7"/>
        <v>0</v>
      </c>
      <c r="AT13" s="205">
        <f t="shared" si="7"/>
        <v>19.756243093922656</v>
      </c>
      <c r="AU13" s="205">
        <f t="shared" si="7"/>
        <v>19.756243093922656</v>
      </c>
      <c r="AV13" s="205">
        <f t="shared" si="7"/>
        <v>19.756243093922656</v>
      </c>
      <c r="AW13" s="205">
        <f t="shared" si="7"/>
        <v>19.756243093922656</v>
      </c>
      <c r="AX13" s="205">
        <f t="shared" si="8"/>
        <v>19.756243093922656</v>
      </c>
      <c r="AY13" s="205">
        <f t="shared" si="8"/>
        <v>19.756243093922656</v>
      </c>
      <c r="AZ13" s="205">
        <f t="shared" si="8"/>
        <v>19.756243093922656</v>
      </c>
      <c r="BA13" s="205">
        <f t="shared" si="8"/>
        <v>19.756243093922656</v>
      </c>
      <c r="BB13" s="205">
        <f t="shared" si="8"/>
        <v>19.756243093922656</v>
      </c>
      <c r="BC13" s="205">
        <f t="shared" si="8"/>
        <v>19.756243093922656</v>
      </c>
      <c r="BD13" s="205">
        <f t="shared" si="8"/>
        <v>19.756243093922656</v>
      </c>
      <c r="BE13" s="205">
        <f t="shared" si="8"/>
        <v>19.756243093922656</v>
      </c>
      <c r="BF13" s="205">
        <f t="shared" si="8"/>
        <v>19.756243093922656</v>
      </c>
      <c r="BG13" s="205">
        <f t="shared" si="8"/>
        <v>19.756243093922656</v>
      </c>
      <c r="BH13" s="205">
        <f t="shared" si="8"/>
        <v>19.756243093922656</v>
      </c>
      <c r="BI13" s="205">
        <f t="shared" si="8"/>
        <v>19.756243093922656</v>
      </c>
      <c r="BJ13" s="205">
        <f t="shared" si="8"/>
        <v>19.756243093922656</v>
      </c>
      <c r="BK13" s="205">
        <f t="shared" si="8"/>
        <v>19.756243093922656</v>
      </c>
      <c r="BL13" s="205">
        <f t="shared" si="8"/>
        <v>19.756243093922656</v>
      </c>
      <c r="BM13" s="205">
        <f t="shared" si="8"/>
        <v>19.756243093922656</v>
      </c>
      <c r="BN13" s="205">
        <f t="shared" si="8"/>
        <v>19.756243093922656</v>
      </c>
      <c r="BO13" s="205">
        <f t="shared" si="8"/>
        <v>19.756243093922656</v>
      </c>
      <c r="BP13" s="205">
        <f t="shared" si="8"/>
        <v>19.756243093922656</v>
      </c>
      <c r="BQ13" s="205">
        <f t="shared" si="8"/>
        <v>19.756243093922656</v>
      </c>
      <c r="BR13" s="205">
        <f t="shared" si="8"/>
        <v>19.756243093922656</v>
      </c>
      <c r="BS13" s="205">
        <f t="shared" si="8"/>
        <v>19.756243093922656</v>
      </c>
      <c r="BT13" s="205">
        <f t="shared" si="8"/>
        <v>19.756243093922656</v>
      </c>
      <c r="BU13" s="205">
        <f t="shared" si="8"/>
        <v>19.756243093922656</v>
      </c>
      <c r="BV13" s="205">
        <f t="shared" si="8"/>
        <v>19.756243093922656</v>
      </c>
      <c r="BW13" s="205">
        <f t="shared" si="8"/>
        <v>19.756243093922656</v>
      </c>
      <c r="BX13" s="205">
        <f t="shared" si="8"/>
        <v>19.756243093922656</v>
      </c>
      <c r="BY13" s="205">
        <f t="shared" si="8"/>
        <v>19.756243093922656</v>
      </c>
      <c r="BZ13" s="205">
        <f t="shared" si="8"/>
        <v>19.756243093922656</v>
      </c>
      <c r="CA13" s="205">
        <f t="shared" si="2"/>
        <v>19.756243093922656</v>
      </c>
      <c r="CB13" s="205">
        <f t="shared" si="2"/>
        <v>19.756243093922656</v>
      </c>
      <c r="CC13" s="205">
        <f t="shared" si="2"/>
        <v>19.756243093922656</v>
      </c>
      <c r="CD13" s="205">
        <f t="shared" si="2"/>
        <v>19.756243093922656</v>
      </c>
      <c r="CE13" s="205">
        <f t="shared" si="2"/>
        <v>19.756243093922656</v>
      </c>
      <c r="CF13" s="205">
        <f t="shared" si="2"/>
        <v>19.756243093922656</v>
      </c>
      <c r="CG13" s="205">
        <f t="shared" si="2"/>
        <v>19.756243093922656</v>
      </c>
      <c r="CH13" s="205">
        <f t="shared" si="2"/>
        <v>19.756243093922656</v>
      </c>
      <c r="CI13" s="205">
        <f t="shared" si="2"/>
        <v>19.756243093922656</v>
      </c>
      <c r="CJ13" s="205">
        <f t="shared" si="2"/>
        <v>19.756243093922656</v>
      </c>
      <c r="CK13" s="205">
        <f t="shared" si="2"/>
        <v>19.756243093922656</v>
      </c>
      <c r="CL13" s="205">
        <f t="shared" si="2"/>
        <v>19.756243093922656</v>
      </c>
      <c r="CM13" s="205">
        <f t="shared" si="2"/>
        <v>19.756243093922656</v>
      </c>
      <c r="CN13" s="205">
        <f t="shared" si="2"/>
        <v>19.756243093922656</v>
      </c>
      <c r="CO13" s="205">
        <f t="shared" si="2"/>
        <v>19.756243093922656</v>
      </c>
      <c r="CP13" s="205">
        <f t="shared" si="2"/>
        <v>19.756243093922656</v>
      </c>
      <c r="CQ13" s="205">
        <f t="shared" si="2"/>
        <v>19.756243093922656</v>
      </c>
      <c r="CR13" s="205">
        <f t="shared" si="2"/>
        <v>19.756243093922656</v>
      </c>
      <c r="CS13" s="205">
        <f t="shared" si="3"/>
        <v>19.756243093922656</v>
      </c>
      <c r="CT13" s="205">
        <f t="shared" si="3"/>
        <v>23.707491712707188</v>
      </c>
      <c r="CU13" s="205">
        <f t="shared" si="3"/>
        <v>23.707491712707188</v>
      </c>
      <c r="CV13" s="205">
        <f t="shared" si="3"/>
        <v>23.707491712707188</v>
      </c>
      <c r="CW13" s="205">
        <f t="shared" si="3"/>
        <v>23.707491712707188</v>
      </c>
      <c r="CX13" s="205">
        <f t="shared" si="3"/>
        <v>23.707491712707188</v>
      </c>
      <c r="CY13" s="205">
        <f t="shared" si="3"/>
        <v>23.707491712707188</v>
      </c>
      <c r="CZ13" s="205">
        <f t="shared" si="3"/>
        <v>23.707491712707188</v>
      </c>
      <c r="DA13" s="205">
        <f t="shared" si="3"/>
        <v>23.707491712707188</v>
      </c>
      <c r="DB13" s="205"/>
    </row>
    <row r="14" spans="1:106">
      <c r="A14" s="202" t="str">
        <f>Income!A85</f>
        <v>Cash transfer - official</v>
      </c>
      <c r="B14" s="204">
        <f>Income!B85</f>
        <v>22976.775588491721</v>
      </c>
      <c r="C14" s="204">
        <f>Income!C85</f>
        <v>20817.060156931126</v>
      </c>
      <c r="D14" s="204">
        <f>Income!D85</f>
        <v>9310.4516129032272</v>
      </c>
      <c r="E14" s="204">
        <f>Income!E85</f>
        <v>11172.541935483872</v>
      </c>
      <c r="F14" s="205">
        <f t="shared" si="4"/>
        <v>22976.775588491721</v>
      </c>
      <c r="G14" s="205">
        <f t="shared" si="4"/>
        <v>22976.775588491721</v>
      </c>
      <c r="H14" s="205">
        <f t="shared" si="4"/>
        <v>22976.775588491721</v>
      </c>
      <c r="I14" s="205">
        <f t="shared" si="4"/>
        <v>22976.775588491721</v>
      </c>
      <c r="J14" s="205">
        <f t="shared" si="4"/>
        <v>22976.775588491721</v>
      </c>
      <c r="K14" s="205">
        <f t="shared" si="4"/>
        <v>22976.775588491721</v>
      </c>
      <c r="L14" s="205">
        <f t="shared" si="4"/>
        <v>22976.775588491721</v>
      </c>
      <c r="M14" s="205">
        <f t="shared" si="4"/>
        <v>22976.775588491721</v>
      </c>
      <c r="N14" s="205">
        <f t="shared" si="4"/>
        <v>22976.775588491721</v>
      </c>
      <c r="O14" s="205">
        <f t="shared" si="4"/>
        <v>22976.775588491721</v>
      </c>
      <c r="P14" s="205">
        <f t="shared" si="4"/>
        <v>22976.775588491721</v>
      </c>
      <c r="Q14" s="205">
        <f t="shared" si="4"/>
        <v>22976.775588491721</v>
      </c>
      <c r="R14" s="205">
        <f t="shared" si="4"/>
        <v>22976.775588491721</v>
      </c>
      <c r="S14" s="205">
        <f t="shared" si="4"/>
        <v>22976.775588491721</v>
      </c>
      <c r="T14" s="205">
        <f t="shared" si="4"/>
        <v>22976.775588491721</v>
      </c>
      <c r="U14" s="205">
        <f t="shared" si="4"/>
        <v>22976.775588491721</v>
      </c>
      <c r="V14" s="205">
        <f t="shared" si="6"/>
        <v>22976.775588491721</v>
      </c>
      <c r="W14" s="205">
        <f t="shared" si="6"/>
        <v>22976.775588491721</v>
      </c>
      <c r="X14" s="205">
        <f t="shared" si="6"/>
        <v>22976.775588491721</v>
      </c>
      <c r="Y14" s="205">
        <f t="shared" si="6"/>
        <v>22976.775588491721</v>
      </c>
      <c r="Z14" s="205">
        <f t="shared" si="6"/>
        <v>22976.775588491721</v>
      </c>
      <c r="AA14" s="205">
        <f t="shared" si="6"/>
        <v>22976.775588491721</v>
      </c>
      <c r="AB14" s="205">
        <f t="shared" si="6"/>
        <v>22976.775588491721</v>
      </c>
      <c r="AC14" s="205">
        <f t="shared" si="6"/>
        <v>22976.775588491721</v>
      </c>
      <c r="AD14" s="205">
        <f t="shared" si="6"/>
        <v>22976.775588491721</v>
      </c>
      <c r="AE14" s="205">
        <f t="shared" si="6"/>
        <v>22976.775588491721</v>
      </c>
      <c r="AF14" s="205">
        <f t="shared" si="6"/>
        <v>22976.775588491721</v>
      </c>
      <c r="AG14" s="205">
        <f t="shared" si="6"/>
        <v>22976.775588491721</v>
      </c>
      <c r="AH14" s="205">
        <f t="shared" si="6"/>
        <v>22976.775588491721</v>
      </c>
      <c r="AI14" s="205">
        <f t="shared" si="6"/>
        <v>22976.775588491721</v>
      </c>
      <c r="AJ14" s="205">
        <f t="shared" si="6"/>
        <v>22976.775588491721</v>
      </c>
      <c r="AK14" s="205">
        <f t="shared" si="6"/>
        <v>22976.775588491721</v>
      </c>
      <c r="AL14" s="205">
        <f t="shared" si="7"/>
        <v>22976.775588491721</v>
      </c>
      <c r="AM14" s="205">
        <f t="shared" si="7"/>
        <v>22976.775588491721</v>
      </c>
      <c r="AN14" s="205">
        <f t="shared" si="7"/>
        <v>22976.775588491721</v>
      </c>
      <c r="AO14" s="205">
        <f t="shared" si="7"/>
        <v>22976.775588491721</v>
      </c>
      <c r="AP14" s="205">
        <f t="shared" si="7"/>
        <v>22976.775588491721</v>
      </c>
      <c r="AQ14" s="205">
        <f t="shared" si="7"/>
        <v>22976.775588491721</v>
      </c>
      <c r="AR14" s="205">
        <f t="shared" si="7"/>
        <v>22976.775588491721</v>
      </c>
      <c r="AS14" s="205">
        <f t="shared" si="7"/>
        <v>22976.775588491721</v>
      </c>
      <c r="AT14" s="205">
        <f t="shared" si="7"/>
        <v>20817.060156931126</v>
      </c>
      <c r="AU14" s="205">
        <f t="shared" si="7"/>
        <v>20817.060156931126</v>
      </c>
      <c r="AV14" s="205">
        <f t="shared" si="7"/>
        <v>20817.060156931126</v>
      </c>
      <c r="AW14" s="205">
        <f t="shared" si="7"/>
        <v>20817.060156931126</v>
      </c>
      <c r="AX14" s="205">
        <f t="shared" si="7"/>
        <v>20817.060156931126</v>
      </c>
      <c r="AY14" s="205">
        <f t="shared" si="7"/>
        <v>20817.060156931126</v>
      </c>
      <c r="AZ14" s="205">
        <f t="shared" si="7"/>
        <v>20817.060156931126</v>
      </c>
      <c r="BA14" s="205">
        <f t="shared" si="7"/>
        <v>20817.060156931126</v>
      </c>
      <c r="BB14" s="205">
        <f t="shared" si="8"/>
        <v>20817.060156931126</v>
      </c>
      <c r="BC14" s="205">
        <f t="shared" si="8"/>
        <v>20817.060156931126</v>
      </c>
      <c r="BD14" s="205">
        <f t="shared" si="8"/>
        <v>20817.060156931126</v>
      </c>
      <c r="BE14" s="205">
        <f t="shared" si="8"/>
        <v>20817.060156931126</v>
      </c>
      <c r="BF14" s="205">
        <f t="shared" si="8"/>
        <v>20817.060156931126</v>
      </c>
      <c r="BG14" s="205">
        <f t="shared" si="8"/>
        <v>20817.060156931126</v>
      </c>
      <c r="BH14" s="205">
        <f t="shared" si="8"/>
        <v>20817.060156931126</v>
      </c>
      <c r="BI14" s="205">
        <f t="shared" si="8"/>
        <v>20817.060156931126</v>
      </c>
      <c r="BJ14" s="205">
        <f t="shared" si="8"/>
        <v>20817.060156931126</v>
      </c>
      <c r="BK14" s="205">
        <f t="shared" si="8"/>
        <v>20817.060156931126</v>
      </c>
      <c r="BL14" s="205">
        <f t="shared" si="8"/>
        <v>20817.060156931126</v>
      </c>
      <c r="BM14" s="205">
        <f t="shared" si="8"/>
        <v>20817.060156931126</v>
      </c>
      <c r="BN14" s="205">
        <f t="shared" si="8"/>
        <v>20817.060156931126</v>
      </c>
      <c r="BO14" s="205">
        <f t="shared" si="8"/>
        <v>20817.060156931126</v>
      </c>
      <c r="BP14" s="205">
        <f t="shared" si="8"/>
        <v>20817.060156931126</v>
      </c>
      <c r="BQ14" s="205">
        <f t="shared" si="8"/>
        <v>20817.060156931126</v>
      </c>
      <c r="BR14" s="205">
        <f t="shared" si="8"/>
        <v>20817.060156931126</v>
      </c>
      <c r="BS14" s="205">
        <f t="shared" si="8"/>
        <v>20817.060156931126</v>
      </c>
      <c r="BT14" s="205">
        <f t="shared" si="8"/>
        <v>20817.060156931126</v>
      </c>
      <c r="BU14" s="205">
        <f t="shared" si="8"/>
        <v>20817.060156931126</v>
      </c>
      <c r="BV14" s="205">
        <f t="shared" si="8"/>
        <v>20817.060156931126</v>
      </c>
      <c r="BW14" s="205">
        <f t="shared" si="8"/>
        <v>20817.060156931126</v>
      </c>
      <c r="BX14" s="205">
        <f t="shared" si="8"/>
        <v>20817.060156931126</v>
      </c>
      <c r="BY14" s="205">
        <f t="shared" si="8"/>
        <v>20817.060156931126</v>
      </c>
      <c r="BZ14" s="205">
        <f t="shared" si="8"/>
        <v>20817.060156931126</v>
      </c>
      <c r="CA14" s="205">
        <f t="shared" si="2"/>
        <v>20817.060156931126</v>
      </c>
      <c r="CB14" s="205">
        <f t="shared" si="2"/>
        <v>9310.4516129032272</v>
      </c>
      <c r="CC14" s="205">
        <f t="shared" si="2"/>
        <v>9310.4516129032272</v>
      </c>
      <c r="CD14" s="205">
        <f t="shared" si="2"/>
        <v>9310.4516129032272</v>
      </c>
      <c r="CE14" s="205">
        <f t="shared" si="2"/>
        <v>9310.4516129032272</v>
      </c>
      <c r="CF14" s="205">
        <f t="shared" si="2"/>
        <v>9310.4516129032272</v>
      </c>
      <c r="CG14" s="205">
        <f t="shared" si="2"/>
        <v>9310.4516129032272</v>
      </c>
      <c r="CH14" s="205">
        <f t="shared" si="2"/>
        <v>9310.4516129032272</v>
      </c>
      <c r="CI14" s="205">
        <f t="shared" si="2"/>
        <v>9310.4516129032272</v>
      </c>
      <c r="CJ14" s="205">
        <f t="shared" si="2"/>
        <v>9310.4516129032272</v>
      </c>
      <c r="CK14" s="205">
        <f t="shared" si="2"/>
        <v>9310.4516129032272</v>
      </c>
      <c r="CL14" s="205">
        <f t="shared" si="2"/>
        <v>9310.4516129032272</v>
      </c>
      <c r="CM14" s="205">
        <f t="shared" si="2"/>
        <v>9310.4516129032272</v>
      </c>
      <c r="CN14" s="205">
        <f t="shared" si="2"/>
        <v>9310.4516129032272</v>
      </c>
      <c r="CO14" s="205">
        <f t="shared" si="2"/>
        <v>9310.4516129032272</v>
      </c>
      <c r="CP14" s="205">
        <f t="shared" si="2"/>
        <v>9310.4516129032272</v>
      </c>
      <c r="CQ14" s="205">
        <f t="shared" si="2"/>
        <v>9310.4516129032272</v>
      </c>
      <c r="CR14" s="205">
        <f t="shared" si="2"/>
        <v>9310.4516129032272</v>
      </c>
      <c r="CS14" s="205">
        <f t="shared" si="3"/>
        <v>9310.4516129032272</v>
      </c>
      <c r="CT14" s="205">
        <f t="shared" si="3"/>
        <v>11172.541935483872</v>
      </c>
      <c r="CU14" s="205">
        <f t="shared" si="3"/>
        <v>11172.541935483872</v>
      </c>
      <c r="CV14" s="205">
        <f t="shared" si="3"/>
        <v>11172.541935483872</v>
      </c>
      <c r="CW14" s="205">
        <f t="shared" si="3"/>
        <v>11172.541935483872</v>
      </c>
      <c r="CX14" s="205">
        <f t="shared" si="3"/>
        <v>11172.541935483872</v>
      </c>
      <c r="CY14" s="205">
        <f t="shared" si="3"/>
        <v>11172.541935483872</v>
      </c>
      <c r="CZ14" s="205">
        <f t="shared" si="3"/>
        <v>11172.541935483872</v>
      </c>
      <c r="DA14" s="205">
        <f t="shared" si="3"/>
        <v>11172.541935483872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0</v>
      </c>
      <c r="D15" s="204">
        <f>Income!D86</f>
        <v>0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0</v>
      </c>
      <c r="AJ15" s="205">
        <f t="shared" si="6"/>
        <v>0</v>
      </c>
      <c r="AK15" s="205">
        <f t="shared" si="6"/>
        <v>0</v>
      </c>
      <c r="AL15" s="205">
        <f t="shared" si="7"/>
        <v>0</v>
      </c>
      <c r="AM15" s="205">
        <f t="shared" si="7"/>
        <v>0</v>
      </c>
      <c r="AN15" s="205">
        <f t="shared" si="7"/>
        <v>0</v>
      </c>
      <c r="AO15" s="205">
        <f t="shared" si="7"/>
        <v>0</v>
      </c>
      <c r="AP15" s="205">
        <f t="shared" si="7"/>
        <v>0</v>
      </c>
      <c r="AQ15" s="205">
        <f t="shared" si="7"/>
        <v>0</v>
      </c>
      <c r="AR15" s="205">
        <f t="shared" si="7"/>
        <v>0</v>
      </c>
      <c r="AS15" s="205">
        <f t="shared" si="7"/>
        <v>0</v>
      </c>
      <c r="AT15" s="205">
        <f t="shared" si="7"/>
        <v>0</v>
      </c>
      <c r="AU15" s="205">
        <f t="shared" si="7"/>
        <v>0</v>
      </c>
      <c r="AV15" s="205">
        <f t="shared" si="7"/>
        <v>0</v>
      </c>
      <c r="AW15" s="205">
        <f t="shared" si="7"/>
        <v>0</v>
      </c>
      <c r="AX15" s="205">
        <f t="shared" si="8"/>
        <v>0</v>
      </c>
      <c r="AY15" s="205">
        <f t="shared" si="8"/>
        <v>0</v>
      </c>
      <c r="AZ15" s="205">
        <f t="shared" si="8"/>
        <v>0</v>
      </c>
      <c r="BA15" s="205">
        <f t="shared" si="8"/>
        <v>0</v>
      </c>
      <c r="BB15" s="205">
        <f t="shared" si="8"/>
        <v>0</v>
      </c>
      <c r="BC15" s="205">
        <f t="shared" si="8"/>
        <v>0</v>
      </c>
      <c r="BD15" s="205">
        <f t="shared" si="8"/>
        <v>0</v>
      </c>
      <c r="BE15" s="205">
        <f t="shared" si="8"/>
        <v>0</v>
      </c>
      <c r="BF15" s="205">
        <f t="shared" si="8"/>
        <v>0</v>
      </c>
      <c r="BG15" s="205">
        <f t="shared" si="8"/>
        <v>0</v>
      </c>
      <c r="BH15" s="205">
        <f t="shared" si="8"/>
        <v>0</v>
      </c>
      <c r="BI15" s="205">
        <f t="shared" si="8"/>
        <v>0</v>
      </c>
      <c r="BJ15" s="205">
        <f t="shared" si="8"/>
        <v>0</v>
      </c>
      <c r="BK15" s="205">
        <f t="shared" si="8"/>
        <v>0</v>
      </c>
      <c r="BL15" s="205">
        <f t="shared" si="8"/>
        <v>0</v>
      </c>
      <c r="BM15" s="205">
        <f t="shared" si="8"/>
        <v>0</v>
      </c>
      <c r="BN15" s="205">
        <f t="shared" si="8"/>
        <v>0</v>
      </c>
      <c r="BO15" s="205">
        <f t="shared" si="8"/>
        <v>0</v>
      </c>
      <c r="BP15" s="205">
        <f t="shared" si="8"/>
        <v>0</v>
      </c>
      <c r="BQ15" s="205">
        <f t="shared" si="8"/>
        <v>0</v>
      </c>
      <c r="BR15" s="205">
        <f t="shared" si="8"/>
        <v>0</v>
      </c>
      <c r="BS15" s="205">
        <f t="shared" si="8"/>
        <v>0</v>
      </c>
      <c r="BT15" s="205">
        <f t="shared" si="8"/>
        <v>0</v>
      </c>
      <c r="BU15" s="205">
        <f t="shared" si="8"/>
        <v>0</v>
      </c>
      <c r="BV15" s="205">
        <f t="shared" si="8"/>
        <v>0</v>
      </c>
      <c r="BW15" s="205">
        <f t="shared" si="8"/>
        <v>0</v>
      </c>
      <c r="BX15" s="205">
        <f t="shared" si="8"/>
        <v>0</v>
      </c>
      <c r="BY15" s="205">
        <f t="shared" si="8"/>
        <v>0</v>
      </c>
      <c r="BZ15" s="205">
        <f t="shared" si="8"/>
        <v>0</v>
      </c>
      <c r="CA15" s="205">
        <f t="shared" si="2"/>
        <v>0</v>
      </c>
      <c r="CB15" s="205">
        <f t="shared" si="2"/>
        <v>0</v>
      </c>
      <c r="CC15" s="205">
        <f t="shared" si="2"/>
        <v>0</v>
      </c>
      <c r="CD15" s="205">
        <f t="shared" ref="CC15:CR18" si="9">IF(CD$2&lt;=($B$2+$C$2+$D$2),IF(CD$2&lt;=($B$2+$C$2),IF(CD$2&lt;=$B$2,$B15,$C15),$D15),$E15)</f>
        <v>0</v>
      </c>
      <c r="CE15" s="205">
        <f t="shared" si="9"/>
        <v>0</v>
      </c>
      <c r="CF15" s="205">
        <f t="shared" si="9"/>
        <v>0</v>
      </c>
      <c r="CG15" s="205">
        <f t="shared" si="9"/>
        <v>0</v>
      </c>
      <c r="CH15" s="205">
        <f t="shared" si="9"/>
        <v>0</v>
      </c>
      <c r="CI15" s="205">
        <f t="shared" si="9"/>
        <v>0</v>
      </c>
      <c r="CJ15" s="205">
        <f t="shared" si="9"/>
        <v>0</v>
      </c>
      <c r="CK15" s="205">
        <f t="shared" si="9"/>
        <v>0</v>
      </c>
      <c r="CL15" s="205">
        <f t="shared" si="9"/>
        <v>0</v>
      </c>
      <c r="CM15" s="205">
        <f t="shared" si="9"/>
        <v>0</v>
      </c>
      <c r="CN15" s="205">
        <f t="shared" si="9"/>
        <v>0</v>
      </c>
      <c r="CO15" s="205">
        <f t="shared" si="9"/>
        <v>0</v>
      </c>
      <c r="CP15" s="205">
        <f t="shared" si="9"/>
        <v>0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116</v>
      </c>
      <c r="B16" s="204">
        <f>Income!B88</f>
        <v>39953.728283322678</v>
      </c>
      <c r="C16" s="204">
        <f>Income!C88</f>
        <v>51863.527447716639</v>
      </c>
      <c r="D16" s="204">
        <f>Income!D88</f>
        <v>157003.92153281462</v>
      </c>
      <c r="E16" s="204">
        <f>Income!E88</f>
        <v>462696.43688086706</v>
      </c>
      <c r="F16" s="205">
        <f t="shared" si="4"/>
        <v>39953.728283322678</v>
      </c>
      <c r="G16" s="205">
        <f t="shared" si="4"/>
        <v>39953.728283322678</v>
      </c>
      <c r="H16" s="205">
        <f t="shared" si="4"/>
        <v>39953.728283322678</v>
      </c>
      <c r="I16" s="205">
        <f t="shared" si="4"/>
        <v>39953.728283322678</v>
      </c>
      <c r="J16" s="205">
        <f t="shared" si="4"/>
        <v>39953.728283322678</v>
      </c>
      <c r="K16" s="205">
        <f t="shared" si="4"/>
        <v>39953.728283322678</v>
      </c>
      <c r="L16" s="205">
        <f t="shared" si="4"/>
        <v>39953.728283322678</v>
      </c>
      <c r="M16" s="205">
        <f t="shared" si="4"/>
        <v>39953.728283322678</v>
      </c>
      <c r="N16" s="205">
        <f t="shared" si="4"/>
        <v>39953.728283322678</v>
      </c>
      <c r="O16" s="205">
        <f t="shared" si="4"/>
        <v>39953.728283322678</v>
      </c>
      <c r="P16" s="205">
        <f t="shared" si="4"/>
        <v>39953.728283322678</v>
      </c>
      <c r="Q16" s="205">
        <f t="shared" si="4"/>
        <v>39953.728283322678</v>
      </c>
      <c r="R16" s="205">
        <f t="shared" si="4"/>
        <v>39953.728283322678</v>
      </c>
      <c r="S16" s="205">
        <f t="shared" si="4"/>
        <v>39953.728283322678</v>
      </c>
      <c r="T16" s="205">
        <f t="shared" si="4"/>
        <v>39953.728283322678</v>
      </c>
      <c r="U16" s="205">
        <f t="shared" si="4"/>
        <v>39953.728283322678</v>
      </c>
      <c r="V16" s="205">
        <f t="shared" si="6"/>
        <v>39953.728283322678</v>
      </c>
      <c r="W16" s="205">
        <f t="shared" si="6"/>
        <v>39953.728283322678</v>
      </c>
      <c r="X16" s="205">
        <f t="shared" si="6"/>
        <v>39953.728283322678</v>
      </c>
      <c r="Y16" s="205">
        <f t="shared" si="6"/>
        <v>39953.728283322678</v>
      </c>
      <c r="Z16" s="205">
        <f t="shared" si="6"/>
        <v>39953.728283322678</v>
      </c>
      <c r="AA16" s="205">
        <f t="shared" si="6"/>
        <v>39953.728283322678</v>
      </c>
      <c r="AB16" s="205">
        <f t="shared" si="6"/>
        <v>39953.728283322678</v>
      </c>
      <c r="AC16" s="205">
        <f t="shared" si="6"/>
        <v>39953.728283322678</v>
      </c>
      <c r="AD16" s="205">
        <f t="shared" si="6"/>
        <v>39953.728283322678</v>
      </c>
      <c r="AE16" s="205">
        <f>IF(AE$2&lt;=($B$2+$C$2+$D$2),IF(AE$2&lt;=($B$2+$C$2),IF(AE$2&lt;=$B$2,$B16,$C16),$D16),$E16)</f>
        <v>39953.728283322678</v>
      </c>
      <c r="AF16" s="205">
        <f t="shared" si="6"/>
        <v>39953.728283322678</v>
      </c>
      <c r="AG16" s="205">
        <f t="shared" si="6"/>
        <v>39953.728283322678</v>
      </c>
      <c r="AH16" s="205">
        <f t="shared" si="6"/>
        <v>39953.728283322678</v>
      </c>
      <c r="AI16" s="205">
        <f t="shared" si="6"/>
        <v>39953.728283322678</v>
      </c>
      <c r="AJ16" s="205">
        <f t="shared" si="6"/>
        <v>39953.728283322678</v>
      </c>
      <c r="AK16" s="205">
        <f t="shared" si="6"/>
        <v>39953.728283322678</v>
      </c>
      <c r="AL16" s="205">
        <f t="shared" si="7"/>
        <v>39953.728283322678</v>
      </c>
      <c r="AM16" s="205">
        <f t="shared" si="7"/>
        <v>39953.728283322678</v>
      </c>
      <c r="AN16" s="205">
        <f t="shared" si="7"/>
        <v>39953.728283322678</v>
      </c>
      <c r="AO16" s="205">
        <f t="shared" si="7"/>
        <v>39953.728283322678</v>
      </c>
      <c r="AP16" s="205">
        <f t="shared" si="7"/>
        <v>39953.728283322678</v>
      </c>
      <c r="AQ16" s="205">
        <f t="shared" si="7"/>
        <v>39953.728283322678</v>
      </c>
      <c r="AR16" s="205">
        <f t="shared" si="7"/>
        <v>39953.728283322678</v>
      </c>
      <c r="AS16" s="205">
        <f t="shared" si="7"/>
        <v>39953.728283322678</v>
      </c>
      <c r="AT16" s="205">
        <f t="shared" si="7"/>
        <v>51863.527447716639</v>
      </c>
      <c r="AU16" s="205">
        <f t="shared" si="7"/>
        <v>51863.527447716639</v>
      </c>
      <c r="AV16" s="205">
        <f t="shared" si="7"/>
        <v>51863.527447716639</v>
      </c>
      <c r="AW16" s="205">
        <f t="shared" si="7"/>
        <v>51863.527447716639</v>
      </c>
      <c r="AX16" s="205">
        <f t="shared" si="8"/>
        <v>51863.527447716639</v>
      </c>
      <c r="AY16" s="205">
        <f t="shared" si="8"/>
        <v>51863.527447716639</v>
      </c>
      <c r="AZ16" s="205">
        <f t="shared" si="8"/>
        <v>51863.527447716639</v>
      </c>
      <c r="BA16" s="205">
        <f t="shared" si="8"/>
        <v>51863.527447716639</v>
      </c>
      <c r="BB16" s="205">
        <f t="shared" si="8"/>
        <v>51863.527447716639</v>
      </c>
      <c r="BC16" s="205">
        <f t="shared" si="8"/>
        <v>51863.527447716639</v>
      </c>
      <c r="BD16" s="205">
        <f t="shared" si="8"/>
        <v>51863.527447716639</v>
      </c>
      <c r="BE16" s="205">
        <f t="shared" si="8"/>
        <v>51863.527447716639</v>
      </c>
      <c r="BF16" s="205">
        <f t="shared" si="8"/>
        <v>51863.527447716639</v>
      </c>
      <c r="BG16" s="205">
        <f t="shared" si="8"/>
        <v>51863.527447716639</v>
      </c>
      <c r="BH16" s="205">
        <f t="shared" si="8"/>
        <v>51863.527447716639</v>
      </c>
      <c r="BI16" s="205">
        <f t="shared" si="8"/>
        <v>51863.527447716639</v>
      </c>
      <c r="BJ16" s="205">
        <f t="shared" si="8"/>
        <v>51863.527447716639</v>
      </c>
      <c r="BK16" s="205">
        <f t="shared" si="8"/>
        <v>51863.527447716639</v>
      </c>
      <c r="BL16" s="205">
        <f t="shared" si="8"/>
        <v>51863.527447716639</v>
      </c>
      <c r="BM16" s="205">
        <f t="shared" si="8"/>
        <v>51863.527447716639</v>
      </c>
      <c r="BN16" s="205">
        <f t="shared" si="8"/>
        <v>51863.527447716639</v>
      </c>
      <c r="BO16" s="205">
        <f t="shared" si="8"/>
        <v>51863.527447716639</v>
      </c>
      <c r="BP16" s="205">
        <f t="shared" si="8"/>
        <v>51863.527447716639</v>
      </c>
      <c r="BQ16" s="205">
        <f t="shared" si="8"/>
        <v>51863.527447716639</v>
      </c>
      <c r="BR16" s="205">
        <f t="shared" si="8"/>
        <v>51863.527447716639</v>
      </c>
      <c r="BS16" s="205">
        <f t="shared" si="8"/>
        <v>51863.527447716639</v>
      </c>
      <c r="BT16" s="205">
        <f t="shared" si="8"/>
        <v>51863.527447716639</v>
      </c>
      <c r="BU16" s="205">
        <f t="shared" si="8"/>
        <v>51863.527447716639</v>
      </c>
      <c r="BV16" s="205">
        <f t="shared" si="8"/>
        <v>51863.527447716639</v>
      </c>
      <c r="BW16" s="205">
        <f t="shared" si="8"/>
        <v>51863.527447716639</v>
      </c>
      <c r="BX16" s="205">
        <f t="shared" si="8"/>
        <v>51863.527447716639</v>
      </c>
      <c r="BY16" s="205">
        <f t="shared" si="8"/>
        <v>51863.527447716639</v>
      </c>
      <c r="BZ16" s="205">
        <f t="shared" si="8"/>
        <v>51863.527447716639</v>
      </c>
      <c r="CA16" s="205">
        <f t="shared" ref="CA16:CB18" si="10">IF(CA$2&lt;=($B$2+$C$2+$D$2),IF(CA$2&lt;=($B$2+$C$2),IF(CA$2&lt;=$B$2,$B16,$C16),$D16),$E16)</f>
        <v>51863.527447716639</v>
      </c>
      <c r="CB16" s="205">
        <f t="shared" si="10"/>
        <v>157003.92153281462</v>
      </c>
      <c r="CC16" s="205">
        <f t="shared" si="9"/>
        <v>157003.92153281462</v>
      </c>
      <c r="CD16" s="205">
        <f t="shared" si="9"/>
        <v>157003.92153281462</v>
      </c>
      <c r="CE16" s="205">
        <f t="shared" si="9"/>
        <v>157003.92153281462</v>
      </c>
      <c r="CF16" s="205">
        <f t="shared" si="9"/>
        <v>157003.92153281462</v>
      </c>
      <c r="CG16" s="205">
        <f t="shared" si="9"/>
        <v>157003.92153281462</v>
      </c>
      <c r="CH16" s="205">
        <f t="shared" si="9"/>
        <v>157003.92153281462</v>
      </c>
      <c r="CI16" s="205">
        <f t="shared" si="9"/>
        <v>157003.92153281462</v>
      </c>
      <c r="CJ16" s="205">
        <f t="shared" si="9"/>
        <v>157003.92153281462</v>
      </c>
      <c r="CK16" s="205">
        <f t="shared" si="9"/>
        <v>157003.92153281462</v>
      </c>
      <c r="CL16" s="205">
        <f t="shared" si="9"/>
        <v>157003.92153281462</v>
      </c>
      <c r="CM16" s="205">
        <f t="shared" si="9"/>
        <v>157003.92153281462</v>
      </c>
      <c r="CN16" s="205">
        <f t="shared" si="9"/>
        <v>157003.92153281462</v>
      </c>
      <c r="CO16" s="205">
        <f t="shared" si="9"/>
        <v>157003.92153281462</v>
      </c>
      <c r="CP16" s="205">
        <f t="shared" si="9"/>
        <v>157003.92153281462</v>
      </c>
      <c r="CQ16" s="205">
        <f t="shared" si="9"/>
        <v>157003.92153281462</v>
      </c>
      <c r="CR16" s="205">
        <f t="shared" si="9"/>
        <v>157003.92153281462</v>
      </c>
      <c r="CS16" s="205">
        <f t="shared" ref="CS16:DA18" si="11">IF(CS$2&lt;=($B$2+$C$2+$D$2),IF(CS$2&lt;=($B$2+$C$2),IF(CS$2&lt;=$B$2,$B16,$C16),$D16),$E16)</f>
        <v>157003.92153281462</v>
      </c>
      <c r="CT16" s="205">
        <f t="shared" si="11"/>
        <v>462696.43688086706</v>
      </c>
      <c r="CU16" s="205">
        <f t="shared" si="11"/>
        <v>462696.43688086706</v>
      </c>
      <c r="CV16" s="205">
        <f t="shared" si="11"/>
        <v>462696.43688086706</v>
      </c>
      <c r="CW16" s="205">
        <f t="shared" si="11"/>
        <v>462696.43688086706</v>
      </c>
      <c r="CX16" s="205">
        <f t="shared" si="11"/>
        <v>462696.43688086706</v>
      </c>
      <c r="CY16" s="205">
        <f t="shared" si="11"/>
        <v>462696.43688086706</v>
      </c>
      <c r="CZ16" s="205">
        <f t="shared" si="11"/>
        <v>462696.43688086706</v>
      </c>
      <c r="DA16" s="205">
        <f t="shared" si="11"/>
        <v>462696.43688086706</v>
      </c>
      <c r="DB16" s="205"/>
    </row>
    <row r="17" spans="1:105">
      <c r="A17" s="202" t="s">
        <v>102</v>
      </c>
      <c r="B17" s="204">
        <f>Income!B89</f>
        <v>21863.869686861162</v>
      </c>
      <c r="C17" s="204">
        <f>Income!C89</f>
        <v>21863.869686861162</v>
      </c>
      <c r="D17" s="204">
        <f>Income!D89</f>
        <v>21863.869686861162</v>
      </c>
      <c r="E17" s="204">
        <f>Income!E89</f>
        <v>21863.869686861162</v>
      </c>
      <c r="F17" s="205">
        <f t="shared" si="4"/>
        <v>21863.869686861162</v>
      </c>
      <c r="G17" s="205">
        <f t="shared" si="4"/>
        <v>21863.869686861162</v>
      </c>
      <c r="H17" s="205">
        <f t="shared" si="4"/>
        <v>21863.869686861162</v>
      </c>
      <c r="I17" s="205">
        <f t="shared" si="4"/>
        <v>21863.869686861162</v>
      </c>
      <c r="J17" s="205">
        <f t="shared" si="4"/>
        <v>21863.869686861162</v>
      </c>
      <c r="K17" s="205">
        <f t="shared" si="4"/>
        <v>21863.869686861162</v>
      </c>
      <c r="L17" s="205">
        <f t="shared" si="4"/>
        <v>21863.869686861162</v>
      </c>
      <c r="M17" s="205">
        <f t="shared" si="4"/>
        <v>21863.869686861162</v>
      </c>
      <c r="N17" s="205">
        <f t="shared" si="4"/>
        <v>21863.869686861162</v>
      </c>
      <c r="O17" s="205">
        <f t="shared" si="4"/>
        <v>21863.869686861162</v>
      </c>
      <c r="P17" s="205">
        <f t="shared" si="4"/>
        <v>21863.869686861162</v>
      </c>
      <c r="Q17" s="205">
        <f t="shared" si="4"/>
        <v>21863.869686861162</v>
      </c>
      <c r="R17" s="205">
        <f t="shared" si="4"/>
        <v>21863.869686861162</v>
      </c>
      <c r="S17" s="205">
        <f t="shared" si="4"/>
        <v>21863.869686861162</v>
      </c>
      <c r="T17" s="205">
        <f t="shared" si="4"/>
        <v>21863.869686861162</v>
      </c>
      <c r="U17" s="205">
        <f t="shared" si="4"/>
        <v>21863.869686861162</v>
      </c>
      <c r="V17" s="205">
        <f t="shared" si="6"/>
        <v>21863.869686861162</v>
      </c>
      <c r="W17" s="205">
        <f t="shared" si="6"/>
        <v>21863.869686861162</v>
      </c>
      <c r="X17" s="205">
        <f t="shared" si="6"/>
        <v>21863.869686861162</v>
      </c>
      <c r="Y17" s="205">
        <f t="shared" si="6"/>
        <v>21863.869686861162</v>
      </c>
      <c r="Z17" s="205">
        <f t="shared" si="6"/>
        <v>21863.869686861162</v>
      </c>
      <c r="AA17" s="205">
        <f t="shared" si="6"/>
        <v>21863.869686861162</v>
      </c>
      <c r="AB17" s="205">
        <f t="shared" si="6"/>
        <v>21863.869686861162</v>
      </c>
      <c r="AC17" s="205">
        <f t="shared" si="6"/>
        <v>21863.869686861162</v>
      </c>
      <c r="AD17" s="205">
        <f t="shared" si="6"/>
        <v>21863.869686861162</v>
      </c>
      <c r="AE17" s="205">
        <f t="shared" si="6"/>
        <v>21863.869686861162</v>
      </c>
      <c r="AF17" s="205">
        <f t="shared" si="6"/>
        <v>21863.869686861162</v>
      </c>
      <c r="AG17" s="205">
        <f t="shared" si="6"/>
        <v>21863.869686861162</v>
      </c>
      <c r="AH17" s="205">
        <f t="shared" si="6"/>
        <v>21863.869686861162</v>
      </c>
      <c r="AI17" s="205">
        <f t="shared" si="6"/>
        <v>21863.869686861162</v>
      </c>
      <c r="AJ17" s="205">
        <f t="shared" si="6"/>
        <v>21863.869686861162</v>
      </c>
      <c r="AK17" s="205">
        <f t="shared" si="6"/>
        <v>21863.869686861162</v>
      </c>
      <c r="AL17" s="205">
        <f t="shared" si="7"/>
        <v>21863.869686861162</v>
      </c>
      <c r="AM17" s="205">
        <f t="shared" si="7"/>
        <v>21863.869686861162</v>
      </c>
      <c r="AN17" s="205">
        <f t="shared" si="7"/>
        <v>21863.869686861162</v>
      </c>
      <c r="AO17" s="205">
        <f t="shared" si="7"/>
        <v>21863.869686861162</v>
      </c>
      <c r="AP17" s="205">
        <f t="shared" si="7"/>
        <v>21863.869686861162</v>
      </c>
      <c r="AQ17" s="205">
        <f t="shared" si="7"/>
        <v>21863.869686861162</v>
      </c>
      <c r="AR17" s="205">
        <f t="shared" si="7"/>
        <v>21863.869686861162</v>
      </c>
      <c r="AS17" s="205">
        <f t="shared" si="7"/>
        <v>21863.869686861162</v>
      </c>
      <c r="AT17" s="205">
        <f t="shared" si="7"/>
        <v>21863.869686861162</v>
      </c>
      <c r="AU17" s="205">
        <f t="shared" si="7"/>
        <v>21863.869686861162</v>
      </c>
      <c r="AV17" s="205">
        <f t="shared" si="7"/>
        <v>21863.869686861162</v>
      </c>
      <c r="AW17" s="205">
        <f t="shared" si="7"/>
        <v>21863.869686861162</v>
      </c>
      <c r="AX17" s="205">
        <f t="shared" si="8"/>
        <v>21863.869686861162</v>
      </c>
      <c r="AY17" s="205">
        <f t="shared" si="8"/>
        <v>21863.869686861162</v>
      </c>
      <c r="AZ17" s="205">
        <f t="shared" si="8"/>
        <v>21863.869686861162</v>
      </c>
      <c r="BA17" s="205">
        <f t="shared" si="8"/>
        <v>21863.869686861162</v>
      </c>
      <c r="BB17" s="205">
        <f t="shared" si="8"/>
        <v>21863.869686861162</v>
      </c>
      <c r="BC17" s="205">
        <f t="shared" si="8"/>
        <v>21863.869686861162</v>
      </c>
      <c r="BD17" s="205">
        <f t="shared" si="8"/>
        <v>21863.869686861162</v>
      </c>
      <c r="BE17" s="205">
        <f t="shared" si="8"/>
        <v>21863.869686861162</v>
      </c>
      <c r="BF17" s="205">
        <f t="shared" si="8"/>
        <v>21863.869686861162</v>
      </c>
      <c r="BG17" s="205">
        <f t="shared" si="8"/>
        <v>21863.869686861162</v>
      </c>
      <c r="BH17" s="205">
        <f t="shared" si="8"/>
        <v>21863.869686861162</v>
      </c>
      <c r="BI17" s="205">
        <f t="shared" si="8"/>
        <v>21863.869686861162</v>
      </c>
      <c r="BJ17" s="205">
        <f t="shared" si="8"/>
        <v>21863.869686861162</v>
      </c>
      <c r="BK17" s="205">
        <f t="shared" si="8"/>
        <v>21863.869686861162</v>
      </c>
      <c r="BL17" s="205">
        <f t="shared" si="8"/>
        <v>21863.869686861162</v>
      </c>
      <c r="BM17" s="205">
        <f t="shared" si="8"/>
        <v>21863.869686861162</v>
      </c>
      <c r="BN17" s="205">
        <f t="shared" si="8"/>
        <v>21863.869686861162</v>
      </c>
      <c r="BO17" s="205">
        <f t="shared" si="8"/>
        <v>21863.869686861162</v>
      </c>
      <c r="BP17" s="205">
        <f t="shared" si="8"/>
        <v>21863.869686861162</v>
      </c>
      <c r="BQ17" s="205">
        <f t="shared" si="8"/>
        <v>21863.869686861162</v>
      </c>
      <c r="BR17" s="205">
        <f t="shared" si="8"/>
        <v>21863.869686861162</v>
      </c>
      <c r="BS17" s="205">
        <f t="shared" si="8"/>
        <v>21863.869686861162</v>
      </c>
      <c r="BT17" s="205">
        <f t="shared" si="8"/>
        <v>21863.869686861162</v>
      </c>
      <c r="BU17" s="205">
        <f t="shared" si="8"/>
        <v>21863.869686861162</v>
      </c>
      <c r="BV17" s="205">
        <f t="shared" si="8"/>
        <v>21863.869686861162</v>
      </c>
      <c r="BW17" s="205">
        <f t="shared" si="8"/>
        <v>21863.869686861162</v>
      </c>
      <c r="BX17" s="205">
        <f t="shared" si="8"/>
        <v>21863.869686861162</v>
      </c>
      <c r="BY17" s="205">
        <f t="shared" si="8"/>
        <v>21863.869686861162</v>
      </c>
      <c r="BZ17" s="205">
        <f t="shared" si="8"/>
        <v>21863.869686861162</v>
      </c>
      <c r="CA17" s="205">
        <f t="shared" si="10"/>
        <v>21863.869686861162</v>
      </c>
      <c r="CB17" s="205">
        <f t="shared" si="10"/>
        <v>21863.869686861162</v>
      </c>
      <c r="CC17" s="205">
        <f t="shared" si="9"/>
        <v>21863.869686861162</v>
      </c>
      <c r="CD17" s="205">
        <f t="shared" si="9"/>
        <v>21863.869686861162</v>
      </c>
      <c r="CE17" s="205">
        <f t="shared" si="9"/>
        <v>21863.869686861162</v>
      </c>
      <c r="CF17" s="205">
        <f t="shared" si="9"/>
        <v>21863.869686861162</v>
      </c>
      <c r="CG17" s="205">
        <f t="shared" si="9"/>
        <v>21863.869686861162</v>
      </c>
      <c r="CH17" s="205">
        <f t="shared" si="9"/>
        <v>21863.869686861162</v>
      </c>
      <c r="CI17" s="205">
        <f t="shared" si="9"/>
        <v>21863.869686861162</v>
      </c>
      <c r="CJ17" s="205">
        <f t="shared" si="9"/>
        <v>21863.869686861162</v>
      </c>
      <c r="CK17" s="205">
        <f t="shared" si="9"/>
        <v>21863.869686861162</v>
      </c>
      <c r="CL17" s="205">
        <f t="shared" si="9"/>
        <v>21863.869686861162</v>
      </c>
      <c r="CM17" s="205">
        <f t="shared" si="9"/>
        <v>21863.869686861162</v>
      </c>
      <c r="CN17" s="205">
        <f t="shared" si="9"/>
        <v>21863.869686861162</v>
      </c>
      <c r="CO17" s="205">
        <f t="shared" si="9"/>
        <v>21863.869686861162</v>
      </c>
      <c r="CP17" s="205">
        <f t="shared" si="9"/>
        <v>21863.869686861162</v>
      </c>
      <c r="CQ17" s="205">
        <f t="shared" si="9"/>
        <v>21863.869686861162</v>
      </c>
      <c r="CR17" s="205">
        <f t="shared" si="9"/>
        <v>21863.869686861162</v>
      </c>
      <c r="CS17" s="205">
        <f t="shared" si="11"/>
        <v>21863.869686861162</v>
      </c>
      <c r="CT17" s="205">
        <f t="shared" si="11"/>
        <v>21863.869686861162</v>
      </c>
      <c r="CU17" s="205">
        <f t="shared" si="11"/>
        <v>21863.869686861162</v>
      </c>
      <c r="CV17" s="205">
        <f t="shared" si="11"/>
        <v>21863.869686861162</v>
      </c>
      <c r="CW17" s="205">
        <f t="shared" si="11"/>
        <v>21863.869686861162</v>
      </c>
      <c r="CX17" s="205">
        <f t="shared" si="11"/>
        <v>21863.869686861162</v>
      </c>
      <c r="CY17" s="205">
        <f t="shared" si="11"/>
        <v>21863.869686861162</v>
      </c>
      <c r="CZ17" s="205">
        <f t="shared" si="11"/>
        <v>21863.869686861162</v>
      </c>
      <c r="DA17" s="205">
        <f t="shared" si="11"/>
        <v>21863.869686861162</v>
      </c>
    </row>
    <row r="18" spans="1:105">
      <c r="A18" s="202" t="s">
        <v>86</v>
      </c>
      <c r="B18" s="204">
        <f>Income!B90</f>
        <v>35134.825989516008</v>
      </c>
      <c r="C18" s="204">
        <f>Income!C90</f>
        <v>35134.825989516001</v>
      </c>
      <c r="D18" s="204">
        <f>Income!D90</f>
        <v>35134.825989516001</v>
      </c>
      <c r="E18" s="204">
        <f>Income!E90</f>
        <v>35134.825989516008</v>
      </c>
      <c r="F18" s="205">
        <f t="shared" ref="F18:U18" si="12">IF(F$2&lt;=($B$2+$C$2+$D$2),IF(F$2&lt;=($B$2+$C$2),IF(F$2&lt;=$B$2,$B18,$C18),$D18),$E18)</f>
        <v>35134.825989516008</v>
      </c>
      <c r="G18" s="205">
        <f t="shared" si="12"/>
        <v>35134.825989516008</v>
      </c>
      <c r="H18" s="205">
        <f t="shared" si="12"/>
        <v>35134.825989516008</v>
      </c>
      <c r="I18" s="205">
        <f t="shared" si="12"/>
        <v>35134.825989516008</v>
      </c>
      <c r="J18" s="205">
        <f t="shared" si="12"/>
        <v>35134.825989516008</v>
      </c>
      <c r="K18" s="205">
        <f t="shared" si="12"/>
        <v>35134.825989516008</v>
      </c>
      <c r="L18" s="205">
        <f t="shared" si="12"/>
        <v>35134.825989516008</v>
      </c>
      <c r="M18" s="205">
        <f t="shared" si="12"/>
        <v>35134.825989516008</v>
      </c>
      <c r="N18" s="205">
        <f t="shared" si="12"/>
        <v>35134.825989516008</v>
      </c>
      <c r="O18" s="205">
        <f t="shared" si="12"/>
        <v>35134.825989516008</v>
      </c>
      <c r="P18" s="205">
        <f t="shared" si="12"/>
        <v>35134.825989516008</v>
      </c>
      <c r="Q18" s="205">
        <f t="shared" si="12"/>
        <v>35134.825989516008</v>
      </c>
      <c r="R18" s="205">
        <f t="shared" si="12"/>
        <v>35134.825989516008</v>
      </c>
      <c r="S18" s="205">
        <f t="shared" si="12"/>
        <v>35134.825989516008</v>
      </c>
      <c r="T18" s="205">
        <f t="shared" si="12"/>
        <v>35134.825989516008</v>
      </c>
      <c r="U18" s="205">
        <f t="shared" si="12"/>
        <v>35134.825989516008</v>
      </c>
      <c r="V18" s="205">
        <f t="shared" si="6"/>
        <v>35134.825989516008</v>
      </c>
      <c r="W18" s="205">
        <f t="shared" si="6"/>
        <v>35134.825989516008</v>
      </c>
      <c r="X18" s="205">
        <f t="shared" si="6"/>
        <v>35134.825989516008</v>
      </c>
      <c r="Y18" s="205">
        <f t="shared" si="6"/>
        <v>35134.825989516008</v>
      </c>
      <c r="Z18" s="205">
        <f t="shared" si="6"/>
        <v>35134.825989516008</v>
      </c>
      <c r="AA18" s="205">
        <f t="shared" si="6"/>
        <v>35134.825989516008</v>
      </c>
      <c r="AB18" s="205">
        <f t="shared" si="6"/>
        <v>35134.825989516008</v>
      </c>
      <c r="AC18" s="205">
        <f t="shared" si="6"/>
        <v>35134.825989516008</v>
      </c>
      <c r="AD18" s="205">
        <f t="shared" si="6"/>
        <v>35134.825989516008</v>
      </c>
      <c r="AE18" s="205">
        <f t="shared" si="6"/>
        <v>35134.825989516008</v>
      </c>
      <c r="AF18" s="205">
        <f t="shared" si="6"/>
        <v>35134.825989516008</v>
      </c>
      <c r="AG18" s="205">
        <f t="shared" si="6"/>
        <v>35134.825989516008</v>
      </c>
      <c r="AH18" s="205">
        <f t="shared" si="6"/>
        <v>35134.825989516008</v>
      </c>
      <c r="AI18" s="205">
        <f t="shared" si="6"/>
        <v>35134.825989516008</v>
      </c>
      <c r="AJ18" s="205">
        <f t="shared" si="6"/>
        <v>35134.825989516008</v>
      </c>
      <c r="AK18" s="205">
        <f t="shared" si="6"/>
        <v>35134.825989516008</v>
      </c>
      <c r="AL18" s="205">
        <f t="shared" si="7"/>
        <v>35134.825989516008</v>
      </c>
      <c r="AM18" s="205">
        <f t="shared" si="7"/>
        <v>35134.825989516008</v>
      </c>
      <c r="AN18" s="205">
        <f t="shared" si="7"/>
        <v>35134.825989516008</v>
      </c>
      <c r="AO18" s="205">
        <f t="shared" si="7"/>
        <v>35134.825989516008</v>
      </c>
      <c r="AP18" s="205">
        <f t="shared" si="7"/>
        <v>35134.825989516008</v>
      </c>
      <c r="AQ18" s="205">
        <f t="shared" si="7"/>
        <v>35134.825989516008</v>
      </c>
      <c r="AR18" s="205">
        <f t="shared" si="7"/>
        <v>35134.825989516008</v>
      </c>
      <c r="AS18" s="205">
        <f t="shared" si="7"/>
        <v>35134.825989516008</v>
      </c>
      <c r="AT18" s="205">
        <f t="shared" si="7"/>
        <v>35134.825989516001</v>
      </c>
      <c r="AU18" s="205">
        <f t="shared" si="7"/>
        <v>35134.825989516001</v>
      </c>
      <c r="AV18" s="205">
        <f t="shared" si="7"/>
        <v>35134.825989516001</v>
      </c>
      <c r="AW18" s="205">
        <f t="shared" si="7"/>
        <v>35134.825989516001</v>
      </c>
      <c r="AX18" s="205">
        <f t="shared" si="8"/>
        <v>35134.825989516001</v>
      </c>
      <c r="AY18" s="205">
        <f t="shared" si="8"/>
        <v>35134.825989516001</v>
      </c>
      <c r="AZ18" s="205">
        <f t="shared" si="8"/>
        <v>35134.825989516001</v>
      </c>
      <c r="BA18" s="205">
        <f t="shared" si="8"/>
        <v>35134.825989516001</v>
      </c>
      <c r="BB18" s="205">
        <f t="shared" si="8"/>
        <v>35134.825989516001</v>
      </c>
      <c r="BC18" s="205">
        <f t="shared" si="8"/>
        <v>35134.825989516001</v>
      </c>
      <c r="BD18" s="205">
        <f t="shared" si="8"/>
        <v>35134.825989516001</v>
      </c>
      <c r="BE18" s="205">
        <f t="shared" si="8"/>
        <v>35134.825989516001</v>
      </c>
      <c r="BF18" s="205">
        <f t="shared" si="8"/>
        <v>35134.825989516001</v>
      </c>
      <c r="BG18" s="205">
        <f t="shared" si="8"/>
        <v>35134.825989516001</v>
      </c>
      <c r="BH18" s="205">
        <f t="shared" si="8"/>
        <v>35134.825989516001</v>
      </c>
      <c r="BI18" s="205">
        <f t="shared" si="8"/>
        <v>35134.825989516001</v>
      </c>
      <c r="BJ18" s="205">
        <f t="shared" si="8"/>
        <v>35134.825989516001</v>
      </c>
      <c r="BK18" s="205">
        <f t="shared" si="8"/>
        <v>35134.825989516001</v>
      </c>
      <c r="BL18" s="205">
        <f t="shared" ref="BL18:BZ18" si="13">IF(BL$2&lt;=($B$2+$C$2+$D$2),IF(BL$2&lt;=($B$2+$C$2),IF(BL$2&lt;=$B$2,$B18,$C18),$D18),$E18)</f>
        <v>35134.825989516001</v>
      </c>
      <c r="BM18" s="205">
        <f t="shared" si="13"/>
        <v>35134.825989516001</v>
      </c>
      <c r="BN18" s="205">
        <f t="shared" si="13"/>
        <v>35134.825989516001</v>
      </c>
      <c r="BO18" s="205">
        <f t="shared" si="13"/>
        <v>35134.825989516001</v>
      </c>
      <c r="BP18" s="205">
        <f t="shared" si="13"/>
        <v>35134.825989516001</v>
      </c>
      <c r="BQ18" s="205">
        <f t="shared" si="13"/>
        <v>35134.825989516001</v>
      </c>
      <c r="BR18" s="205">
        <f t="shared" si="13"/>
        <v>35134.825989516001</v>
      </c>
      <c r="BS18" s="205">
        <f t="shared" si="13"/>
        <v>35134.825989516001</v>
      </c>
      <c r="BT18" s="205">
        <f t="shared" si="13"/>
        <v>35134.825989516001</v>
      </c>
      <c r="BU18" s="205">
        <f t="shared" si="13"/>
        <v>35134.825989516001</v>
      </c>
      <c r="BV18" s="205">
        <f t="shared" si="13"/>
        <v>35134.825989516001</v>
      </c>
      <c r="BW18" s="205">
        <f t="shared" si="13"/>
        <v>35134.825989516001</v>
      </c>
      <c r="BX18" s="205">
        <f t="shared" si="13"/>
        <v>35134.825989516001</v>
      </c>
      <c r="BY18" s="205">
        <f t="shared" si="13"/>
        <v>35134.825989516001</v>
      </c>
      <c r="BZ18" s="205">
        <f t="shared" si="13"/>
        <v>35134.825989516001</v>
      </c>
      <c r="CA18" s="205">
        <f t="shared" si="10"/>
        <v>35134.825989516001</v>
      </c>
      <c r="CB18" s="205">
        <f t="shared" si="10"/>
        <v>35134.825989516001</v>
      </c>
      <c r="CC18" s="205">
        <f t="shared" si="9"/>
        <v>35134.825989516001</v>
      </c>
      <c r="CD18" s="205">
        <f t="shared" si="9"/>
        <v>35134.825989516001</v>
      </c>
      <c r="CE18" s="205">
        <f t="shared" si="9"/>
        <v>35134.825989516001</v>
      </c>
      <c r="CF18" s="205">
        <f t="shared" si="9"/>
        <v>35134.825989516001</v>
      </c>
      <c r="CG18" s="205">
        <f t="shared" si="9"/>
        <v>35134.825989516001</v>
      </c>
      <c r="CH18" s="205">
        <f t="shared" si="9"/>
        <v>35134.825989516001</v>
      </c>
      <c r="CI18" s="205">
        <f t="shared" si="9"/>
        <v>35134.825989516001</v>
      </c>
      <c r="CJ18" s="205">
        <f t="shared" si="9"/>
        <v>35134.825989516001</v>
      </c>
      <c r="CK18" s="205">
        <f t="shared" si="9"/>
        <v>35134.825989516001</v>
      </c>
      <c r="CL18" s="205">
        <f t="shared" si="9"/>
        <v>35134.825989516001</v>
      </c>
      <c r="CM18" s="205">
        <f t="shared" si="9"/>
        <v>35134.825989516001</v>
      </c>
      <c r="CN18" s="205">
        <f t="shared" si="9"/>
        <v>35134.825989516001</v>
      </c>
      <c r="CO18" s="205">
        <f t="shared" si="9"/>
        <v>35134.825989516001</v>
      </c>
      <c r="CP18" s="205">
        <f t="shared" si="9"/>
        <v>35134.825989516001</v>
      </c>
      <c r="CQ18" s="205">
        <f t="shared" si="9"/>
        <v>35134.825989516001</v>
      </c>
      <c r="CR18" s="205">
        <f t="shared" si="9"/>
        <v>35134.825989516001</v>
      </c>
      <c r="CS18" s="205">
        <f t="shared" si="11"/>
        <v>35134.825989516001</v>
      </c>
      <c r="CT18" s="205">
        <f t="shared" si="11"/>
        <v>35134.825989516008</v>
      </c>
      <c r="CU18" s="205">
        <f t="shared" si="11"/>
        <v>35134.825989516008</v>
      </c>
      <c r="CV18" s="205">
        <f t="shared" si="11"/>
        <v>35134.825989516008</v>
      </c>
      <c r="CW18" s="205">
        <f t="shared" si="11"/>
        <v>35134.825989516008</v>
      </c>
      <c r="CX18" s="205">
        <f t="shared" si="11"/>
        <v>35134.825989516008</v>
      </c>
      <c r="CY18" s="205">
        <f t="shared" si="11"/>
        <v>35134.825989516008</v>
      </c>
      <c r="CZ18" s="205">
        <f t="shared" si="11"/>
        <v>35134.825989516008</v>
      </c>
      <c r="DA18" s="205">
        <f t="shared" si="11"/>
        <v>35134.825989516008</v>
      </c>
    </row>
    <row r="19" spans="1:105">
      <c r="A19" s="202" t="s">
        <v>117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>
        <f t="shared" si="14"/>
        <v>39953.728283322678</v>
      </c>
      <c r="AA19" s="202">
        <f t="shared" si="14"/>
        <v>40275.61474722522</v>
      </c>
      <c r="AB19" s="202">
        <f t="shared" si="14"/>
        <v>40597.501211127754</v>
      </c>
      <c r="AC19" s="202">
        <f t="shared" si="14"/>
        <v>40919.387675030295</v>
      </c>
      <c r="AD19" s="202">
        <f t="shared" si="14"/>
        <v>41241.274138932837</v>
      </c>
      <c r="AE19" s="202">
        <f t="shared" si="14"/>
        <v>41563.160602835378</v>
      </c>
      <c r="AF19" s="202">
        <f t="shared" si="14"/>
        <v>41885.047066737912</v>
      </c>
      <c r="AG19" s="202">
        <f t="shared" si="14"/>
        <v>42206.933530640454</v>
      </c>
      <c r="AH19" s="202">
        <f t="shared" si="14"/>
        <v>42528.819994542995</v>
      </c>
      <c r="AI19" s="202">
        <f t="shared" si="14"/>
        <v>42850.706458445537</v>
      </c>
      <c r="AJ19" s="202">
        <f t="shared" si="14"/>
        <v>43172.592922348071</v>
      </c>
      <c r="AK19" s="202">
        <f t="shared" si="14"/>
        <v>43494.479386250612</v>
      </c>
      <c r="AL19" s="202">
        <f t="shared" si="14"/>
        <v>43816.365850153154</v>
      </c>
      <c r="AM19" s="202">
        <f t="shared" si="14"/>
        <v>44138.252314055688</v>
      </c>
      <c r="AN19" s="202">
        <f t="shared" si="14"/>
        <v>44460.138777958229</v>
      </c>
      <c r="AO19" s="202">
        <f t="shared" si="14"/>
        <v>44782.025241860771</v>
      </c>
      <c r="AP19" s="202">
        <f t="shared" si="14"/>
        <v>45103.911705763312</v>
      </c>
      <c r="AQ19" s="202">
        <f t="shared" si="14"/>
        <v>45425.798169665846</v>
      </c>
      <c r="AR19" s="202">
        <f t="shared" si="14"/>
        <v>45747.684633568388</v>
      </c>
      <c r="AS19" s="202">
        <f t="shared" si="14"/>
        <v>46069.571097470929</v>
      </c>
      <c r="AT19" s="202">
        <f t="shared" si="14"/>
        <v>46391.457561373463</v>
      </c>
      <c r="AU19" s="202">
        <f t="shared" si="14"/>
        <v>46713.344025276005</v>
      </c>
      <c r="AV19" s="202">
        <f t="shared" si="14"/>
        <v>47035.230489178546</v>
      </c>
      <c r="AW19" s="202">
        <f t="shared" si="14"/>
        <v>47357.116953081088</v>
      </c>
      <c r="AX19" s="202">
        <f t="shared" si="14"/>
        <v>47679.003416983629</v>
      </c>
      <c r="AY19" s="202">
        <f t="shared" si="14"/>
        <v>48000.889880886163</v>
      </c>
      <c r="AZ19" s="202">
        <f t="shared" si="14"/>
        <v>48322.776344788705</v>
      </c>
      <c r="BA19" s="202">
        <f t="shared" si="14"/>
        <v>48644.662808691239</v>
      </c>
      <c r="BB19" s="202">
        <f t="shared" si="14"/>
        <v>48966.54927259378</v>
      </c>
      <c r="BC19" s="202">
        <f t="shared" si="14"/>
        <v>49288.435736496322</v>
      </c>
      <c r="BD19" s="202">
        <f t="shared" si="14"/>
        <v>49610.322200398863</v>
      </c>
      <c r="BE19" s="202">
        <f t="shared" si="14"/>
        <v>49932.208664301404</v>
      </c>
      <c r="BF19" s="202">
        <f t="shared" si="14"/>
        <v>50254.095128203939</v>
      </c>
      <c r="BG19" s="202">
        <f t="shared" si="14"/>
        <v>50575.98159210648</v>
      </c>
      <c r="BH19" s="202">
        <f t="shared" si="14"/>
        <v>50897.868056009022</v>
      </c>
      <c r="BI19" s="202">
        <f t="shared" si="14"/>
        <v>51219.754519911556</v>
      </c>
      <c r="BJ19" s="202">
        <f t="shared" si="14"/>
        <v>51541.640983814097</v>
      </c>
      <c r="BK19" s="202">
        <f t="shared" si="14"/>
        <v>51863.527447716639</v>
      </c>
      <c r="BL19" s="202">
        <f t="shared" si="14"/>
        <v>55907.388758681947</v>
      </c>
      <c r="BM19" s="202">
        <f t="shared" si="14"/>
        <v>59951.250069647256</v>
      </c>
      <c r="BN19" s="202">
        <f t="shared" si="14"/>
        <v>63995.111380612558</v>
      </c>
      <c r="BO19" s="202">
        <f t="shared" si="14"/>
        <v>68038.972691577859</v>
      </c>
      <c r="BP19" s="202">
        <f t="shared" si="14"/>
        <v>72082.834002543183</v>
      </c>
      <c r="BQ19" s="202">
        <f t="shared" si="14"/>
        <v>76126.695313508477</v>
      </c>
      <c r="BR19" s="202">
        <f t="shared" si="14"/>
        <v>80170.556624473786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84214.417935439094</v>
      </c>
      <c r="BT19" s="202">
        <f t="shared" si="15"/>
        <v>88258.279246404403</v>
      </c>
      <c r="BU19" s="202">
        <f t="shared" si="15"/>
        <v>92302.140557369712</v>
      </c>
      <c r="BV19" s="202">
        <f t="shared" si="15"/>
        <v>96346.001868335006</v>
      </c>
      <c r="BW19" s="202">
        <f t="shared" si="15"/>
        <v>100389.86317930033</v>
      </c>
      <c r="BX19" s="202">
        <f t="shared" si="15"/>
        <v>104433.72449026562</v>
      </c>
      <c r="BY19" s="202">
        <f t="shared" si="15"/>
        <v>108477.58580123093</v>
      </c>
      <c r="BZ19" s="202">
        <f t="shared" si="15"/>
        <v>112521.44711219624</v>
      </c>
      <c r="CA19" s="202">
        <f t="shared" si="15"/>
        <v>116565.30842316155</v>
      </c>
      <c r="CB19" s="202">
        <f t="shared" si="15"/>
        <v>120609.16973412686</v>
      </c>
      <c r="CC19" s="202">
        <f t="shared" si="15"/>
        <v>124653.03104509217</v>
      </c>
      <c r="CD19" s="202">
        <f t="shared" si="15"/>
        <v>128696.89235605748</v>
      </c>
      <c r="CE19" s="202">
        <f t="shared" si="15"/>
        <v>132740.7536670228</v>
      </c>
      <c r="CF19" s="202">
        <f t="shared" si="15"/>
        <v>136784.61497798807</v>
      </c>
      <c r="CG19" s="202">
        <f t="shared" si="15"/>
        <v>140828.47628895339</v>
      </c>
      <c r="CH19" s="202">
        <f t="shared" si="15"/>
        <v>144872.33759991871</v>
      </c>
      <c r="CI19" s="202">
        <f t="shared" si="15"/>
        <v>148916.19891088401</v>
      </c>
      <c r="CJ19" s="202">
        <f t="shared" si="15"/>
        <v>152960.0602218493</v>
      </c>
      <c r="CK19" s="202">
        <f t="shared" si="15"/>
        <v>157003.92153281462</v>
      </c>
      <c r="CL19" s="202">
        <f t="shared" si="15"/>
        <v>180518.73040574172</v>
      </c>
      <c r="CM19" s="202">
        <f t="shared" si="15"/>
        <v>204033.53927866885</v>
      </c>
      <c r="CN19" s="202">
        <f t="shared" si="15"/>
        <v>227548.34815159597</v>
      </c>
      <c r="CO19" s="202">
        <f t="shared" si="15"/>
        <v>251063.15702452307</v>
      </c>
      <c r="CP19" s="202">
        <f t="shared" si="15"/>
        <v>274577.96589745017</v>
      </c>
      <c r="CQ19" s="202">
        <f t="shared" si="15"/>
        <v>298092.77477037732</v>
      </c>
      <c r="CR19" s="202">
        <f t="shared" si="15"/>
        <v>321607.58364330442</v>
      </c>
      <c r="CS19" s="202">
        <f t="shared" si="15"/>
        <v>345122.39251623151</v>
      </c>
      <c r="CT19" s="202">
        <f t="shared" si="15"/>
        <v>368637.20138915861</v>
      </c>
      <c r="CU19" s="202">
        <f t="shared" si="15"/>
        <v>392152.01026208571</v>
      </c>
      <c r="CV19" s="202">
        <f t="shared" si="15"/>
        <v>415666.81913501286</v>
      </c>
      <c r="CW19" s="202">
        <f t="shared" si="15"/>
        <v>439181.62800793996</v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98</v>
      </c>
      <c r="C21" s="202" t="s">
        <v>97</v>
      </c>
      <c r="D21" s="202" t="s">
        <v>99</v>
      </c>
      <c r="E21" s="202" t="s">
        <v>100</v>
      </c>
    </row>
    <row r="22" spans="1:105">
      <c r="B22" s="206">
        <f>B2*100</f>
        <v>40</v>
      </c>
      <c r="C22" s="206">
        <f>C2*100</f>
        <v>34</v>
      </c>
      <c r="D22" s="206">
        <f>D2*100</f>
        <v>18</v>
      </c>
      <c r="E22" s="206">
        <f>E2*100</f>
        <v>8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40</v>
      </c>
      <c r="C23" s="207">
        <f>SUM($B22:C22)</f>
        <v>74</v>
      </c>
      <c r="D23" s="207">
        <f>SUM($B22:D22)</f>
        <v>92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20</v>
      </c>
      <c r="C24" s="209">
        <f>B23+(C23-B23)/2</f>
        <v>57</v>
      </c>
      <c r="D24" s="209">
        <f>C23+(D23-C23)/2</f>
        <v>83</v>
      </c>
      <c r="E24" s="209">
        <f>D23+(E23-D23)/2</f>
        <v>96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344.95269483095262</v>
      </c>
      <c r="C25" s="204">
        <f>Income!C72</f>
        <v>2652.6387558213746</v>
      </c>
      <c r="D25" s="204">
        <f>Income!D72</f>
        <v>4103.3979227532782</v>
      </c>
      <c r="E25" s="204">
        <f>Income!E72</f>
        <v>3942.9259229559671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344.95269483095262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344.95269483095262</v>
      </c>
      <c r="H25" s="211">
        <f t="shared" si="16"/>
        <v>344.95269483095262</v>
      </c>
      <c r="I25" s="211">
        <f t="shared" si="16"/>
        <v>344.95269483095262</v>
      </c>
      <c r="J25" s="211">
        <f t="shared" si="16"/>
        <v>344.95269483095262</v>
      </c>
      <c r="K25" s="211">
        <f t="shared" si="16"/>
        <v>344.95269483095262</v>
      </c>
      <c r="L25" s="211">
        <f t="shared" si="16"/>
        <v>344.95269483095262</v>
      </c>
      <c r="M25" s="211">
        <f t="shared" si="16"/>
        <v>344.95269483095262</v>
      </c>
      <c r="N25" s="211">
        <f t="shared" si="16"/>
        <v>344.95269483095262</v>
      </c>
      <c r="O25" s="211">
        <f t="shared" si="16"/>
        <v>344.95269483095262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344.95269483095262</v>
      </c>
      <c r="Q25" s="211">
        <f t="shared" si="17"/>
        <v>344.95269483095262</v>
      </c>
      <c r="R25" s="211">
        <f t="shared" si="17"/>
        <v>344.95269483095262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344.95269483095262</v>
      </c>
      <c r="T25" s="211">
        <f t="shared" si="17"/>
        <v>344.95269483095262</v>
      </c>
      <c r="U25" s="211">
        <f t="shared" si="17"/>
        <v>344.95269483095262</v>
      </c>
      <c r="V25" s="211">
        <f t="shared" si="17"/>
        <v>344.95269483095262</v>
      </c>
      <c r="W25" s="211">
        <f t="shared" si="17"/>
        <v>344.95269483095262</v>
      </c>
      <c r="X25" s="211">
        <f t="shared" si="17"/>
        <v>344.95269483095262</v>
      </c>
      <c r="Y25" s="211">
        <f t="shared" si="17"/>
        <v>344.95269483095262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344.95269483095262</v>
      </c>
      <c r="AA25" s="211">
        <f t="shared" si="18"/>
        <v>407.3225883712343</v>
      </c>
      <c r="AB25" s="211">
        <f t="shared" si="18"/>
        <v>469.69248191151598</v>
      </c>
      <c r="AC25" s="211">
        <f t="shared" si="18"/>
        <v>532.06237545179761</v>
      </c>
      <c r="AD25" s="211">
        <f t="shared" si="18"/>
        <v>594.43226899207934</v>
      </c>
      <c r="AE25" s="211">
        <f t="shared" si="18"/>
        <v>656.80216253236097</v>
      </c>
      <c r="AF25" s="211">
        <f t="shared" si="18"/>
        <v>719.1720560726427</v>
      </c>
      <c r="AG25" s="211">
        <f t="shared" si="18"/>
        <v>781.54194961292433</v>
      </c>
      <c r="AH25" s="211">
        <f t="shared" si="18"/>
        <v>843.91184315320606</v>
      </c>
      <c r="AI25" s="211">
        <f t="shared" si="18"/>
        <v>906.28173669348769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968.65163023376931</v>
      </c>
      <c r="AK25" s="211">
        <f t="shared" si="19"/>
        <v>1031.021523774051</v>
      </c>
      <c r="AL25" s="211">
        <f t="shared" si="19"/>
        <v>1093.3914173143328</v>
      </c>
      <c r="AM25" s="211">
        <f t="shared" si="19"/>
        <v>1155.7613108546143</v>
      </c>
      <c r="AN25" s="211">
        <f t="shared" si="19"/>
        <v>1218.131204394896</v>
      </c>
      <c r="AO25" s="211">
        <f t="shared" si="19"/>
        <v>1280.5010979351778</v>
      </c>
      <c r="AP25" s="211">
        <f t="shared" si="19"/>
        <v>1342.8709914754595</v>
      </c>
      <c r="AQ25" s="211">
        <f t="shared" si="19"/>
        <v>1405.2408850157412</v>
      </c>
      <c r="AR25" s="211">
        <f t="shared" si="19"/>
        <v>1467.6107785560228</v>
      </c>
      <c r="AS25" s="211">
        <f t="shared" si="19"/>
        <v>1529.9806720963045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1592.350565636586</v>
      </c>
      <c r="AU25" s="211">
        <f t="shared" si="20"/>
        <v>1654.7204591768677</v>
      </c>
      <c r="AV25" s="211">
        <f t="shared" si="20"/>
        <v>1717.0903527171495</v>
      </c>
      <c r="AW25" s="211">
        <f t="shared" si="20"/>
        <v>1779.4602462574312</v>
      </c>
      <c r="AX25" s="211">
        <f t="shared" si="20"/>
        <v>1841.8301397977129</v>
      </c>
      <c r="AY25" s="211">
        <f t="shared" si="20"/>
        <v>1904.2000333379945</v>
      </c>
      <c r="AZ25" s="211">
        <f t="shared" si="20"/>
        <v>1966.5699268782762</v>
      </c>
      <c r="BA25" s="211">
        <f t="shared" si="20"/>
        <v>2028.9398204185579</v>
      </c>
      <c r="BB25" s="211">
        <f t="shared" si="20"/>
        <v>2091.3097139588399</v>
      </c>
      <c r="BC25" s="211">
        <f t="shared" si="20"/>
        <v>2153.6796074991216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2216.0495010394025</v>
      </c>
      <c r="BE25" s="211">
        <f t="shared" si="21"/>
        <v>2278.4193945796842</v>
      </c>
      <c r="BF25" s="211">
        <f t="shared" si="21"/>
        <v>2340.7892881199659</v>
      </c>
      <c r="BG25" s="211">
        <f t="shared" si="21"/>
        <v>2403.1591816602481</v>
      </c>
      <c r="BH25" s="211">
        <f t="shared" si="21"/>
        <v>2465.5290752005299</v>
      </c>
      <c r="BI25" s="211">
        <f t="shared" si="21"/>
        <v>2527.8989687408111</v>
      </c>
      <c r="BJ25" s="211">
        <f t="shared" si="21"/>
        <v>2590.2688622810929</v>
      </c>
      <c r="BK25" s="211">
        <f t="shared" si="21"/>
        <v>2652.6387558213746</v>
      </c>
      <c r="BL25" s="211">
        <f t="shared" si="21"/>
        <v>2708.4371853187554</v>
      </c>
      <c r="BM25" s="211">
        <f t="shared" si="21"/>
        <v>2764.2356148161366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2820.0340443135174</v>
      </c>
      <c r="BO25" s="211">
        <f t="shared" si="22"/>
        <v>2875.8324738108981</v>
      </c>
      <c r="BP25" s="211">
        <f t="shared" si="22"/>
        <v>2931.6309033082789</v>
      </c>
      <c r="BQ25" s="211">
        <f t="shared" si="22"/>
        <v>2987.4293328056601</v>
      </c>
      <c r="BR25" s="211">
        <f t="shared" si="22"/>
        <v>3043.2277623030409</v>
      </c>
      <c r="BS25" s="211">
        <f t="shared" si="22"/>
        <v>3099.0261918004217</v>
      </c>
      <c r="BT25" s="211">
        <f t="shared" si="22"/>
        <v>3154.8246212978029</v>
      </c>
      <c r="BU25" s="211">
        <f t="shared" si="22"/>
        <v>3210.6230507951836</v>
      </c>
      <c r="BV25" s="211">
        <f t="shared" si="22"/>
        <v>3266.4214802925644</v>
      </c>
      <c r="BW25" s="211">
        <f t="shared" si="22"/>
        <v>3322.2199097899456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3378.0183392873264</v>
      </c>
      <c r="BY25" s="211">
        <f t="shared" si="23"/>
        <v>3433.8167687847072</v>
      </c>
      <c r="BZ25" s="211">
        <f t="shared" si="23"/>
        <v>3489.6151982820884</v>
      </c>
      <c r="CA25" s="211">
        <f t="shared" si="23"/>
        <v>3545.4136277794692</v>
      </c>
      <c r="CB25" s="211">
        <f t="shared" si="23"/>
        <v>3601.2120572768499</v>
      </c>
      <c r="CC25" s="211">
        <f t="shared" si="23"/>
        <v>3657.0104867742311</v>
      </c>
      <c r="CD25" s="211">
        <f t="shared" si="23"/>
        <v>3712.8089162716119</v>
      </c>
      <c r="CE25" s="211">
        <f t="shared" si="23"/>
        <v>3768.6073457689927</v>
      </c>
      <c r="CF25" s="211">
        <f t="shared" si="23"/>
        <v>3824.4057752663739</v>
      </c>
      <c r="CG25" s="211">
        <f t="shared" si="23"/>
        <v>3880.2042047637542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3936.0026342611354</v>
      </c>
      <c r="CI25" s="211">
        <f t="shared" si="24"/>
        <v>3991.8010637585166</v>
      </c>
      <c r="CJ25" s="211">
        <f t="shared" si="24"/>
        <v>4047.599493255897</v>
      </c>
      <c r="CK25" s="211">
        <f t="shared" si="24"/>
        <v>4103.3979227532782</v>
      </c>
      <c r="CL25" s="211">
        <f t="shared" si="24"/>
        <v>4091.0539227688696</v>
      </c>
      <c r="CM25" s="211">
        <f t="shared" si="24"/>
        <v>4078.709922784461</v>
      </c>
      <c r="CN25" s="211">
        <f t="shared" si="24"/>
        <v>4066.3659228000524</v>
      </c>
      <c r="CO25" s="211">
        <f t="shared" si="24"/>
        <v>4054.0219228156438</v>
      </c>
      <c r="CP25" s="211">
        <f t="shared" si="24"/>
        <v>4041.6779228312353</v>
      </c>
      <c r="CQ25" s="211">
        <f t="shared" si="24"/>
        <v>4029.3339228468267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4016.9899228624186</v>
      </c>
      <c r="CS25" s="211">
        <f t="shared" si="25"/>
        <v>4004.64592287801</v>
      </c>
      <c r="CT25" s="211">
        <f t="shared" si="25"/>
        <v>3992.3019228936014</v>
      </c>
      <c r="CU25" s="211">
        <f t="shared" si="25"/>
        <v>3979.9579229091928</v>
      </c>
      <c r="CV25" s="211">
        <f t="shared" si="25"/>
        <v>3967.6139229247842</v>
      </c>
      <c r="CW25" s="211">
        <f t="shared" si="25"/>
        <v>3955.2699229403756</v>
      </c>
      <c r="CX25" s="211">
        <f t="shared" si="25"/>
        <v>3942.9259229559671</v>
      </c>
      <c r="CY25" s="211">
        <f t="shared" si="25"/>
        <v>3942.9259229559671</v>
      </c>
      <c r="CZ25" s="211">
        <f t="shared" si="25"/>
        <v>3942.9259229559671</v>
      </c>
      <c r="DA25" s="211">
        <f t="shared" si="25"/>
        <v>3942.9259229559671</v>
      </c>
    </row>
    <row r="26" spans="1:105">
      <c r="A26" s="202" t="str">
        <f>Income!A73</f>
        <v>Own crops sold</v>
      </c>
      <c r="B26" s="204">
        <f>Income!B73</f>
        <v>0</v>
      </c>
      <c r="C26" s="204">
        <f>Income!C73</f>
        <v>0</v>
      </c>
      <c r="D26" s="204">
        <f>Income!D73</f>
        <v>0</v>
      </c>
      <c r="E26" s="204">
        <f>Income!E73</f>
        <v>4838.3999999999996</v>
      </c>
      <c r="F26" s="211">
        <f t="shared" si="16"/>
        <v>0</v>
      </c>
      <c r="G26" s="211">
        <f t="shared" si="16"/>
        <v>0</v>
      </c>
      <c r="H26" s="211">
        <f t="shared" si="16"/>
        <v>0</v>
      </c>
      <c r="I26" s="211">
        <f t="shared" si="16"/>
        <v>0</v>
      </c>
      <c r="J26" s="211">
        <f t="shared" si="16"/>
        <v>0</v>
      </c>
      <c r="K26" s="211">
        <f t="shared" si="16"/>
        <v>0</v>
      </c>
      <c r="L26" s="211">
        <f t="shared" si="16"/>
        <v>0</v>
      </c>
      <c r="M26" s="211">
        <f t="shared" si="16"/>
        <v>0</v>
      </c>
      <c r="N26" s="211">
        <f t="shared" si="16"/>
        <v>0</v>
      </c>
      <c r="O26" s="211">
        <f t="shared" si="16"/>
        <v>0</v>
      </c>
      <c r="P26" s="211">
        <f t="shared" si="17"/>
        <v>0</v>
      </c>
      <c r="Q26" s="211">
        <f t="shared" si="17"/>
        <v>0</v>
      </c>
      <c r="R26" s="211">
        <f t="shared" si="17"/>
        <v>0</v>
      </c>
      <c r="S26" s="211">
        <f t="shared" si="17"/>
        <v>0</v>
      </c>
      <c r="T26" s="211">
        <f t="shared" si="17"/>
        <v>0</v>
      </c>
      <c r="U26" s="211">
        <f t="shared" si="17"/>
        <v>0</v>
      </c>
      <c r="V26" s="211">
        <f t="shared" si="17"/>
        <v>0</v>
      </c>
      <c r="W26" s="211">
        <f t="shared" si="17"/>
        <v>0</v>
      </c>
      <c r="X26" s="211">
        <f t="shared" si="17"/>
        <v>0</v>
      </c>
      <c r="Y26" s="211">
        <f t="shared" si="17"/>
        <v>0</v>
      </c>
      <c r="Z26" s="211">
        <f t="shared" si="18"/>
        <v>0</v>
      </c>
      <c r="AA26" s="211">
        <f t="shared" si="18"/>
        <v>0</v>
      </c>
      <c r="AB26" s="211">
        <f t="shared" si="18"/>
        <v>0</v>
      </c>
      <c r="AC26" s="211">
        <f t="shared" si="18"/>
        <v>0</v>
      </c>
      <c r="AD26" s="211">
        <f t="shared" si="18"/>
        <v>0</v>
      </c>
      <c r="AE26" s="211">
        <f t="shared" si="18"/>
        <v>0</v>
      </c>
      <c r="AF26" s="211">
        <f t="shared" si="18"/>
        <v>0</v>
      </c>
      <c r="AG26" s="211">
        <f t="shared" si="18"/>
        <v>0</v>
      </c>
      <c r="AH26" s="211">
        <f t="shared" si="18"/>
        <v>0</v>
      </c>
      <c r="AI26" s="211">
        <f t="shared" si="18"/>
        <v>0</v>
      </c>
      <c r="AJ26" s="211">
        <f t="shared" si="19"/>
        <v>0</v>
      </c>
      <c r="AK26" s="211">
        <f t="shared" si="19"/>
        <v>0</v>
      </c>
      <c r="AL26" s="211">
        <f t="shared" si="19"/>
        <v>0</v>
      </c>
      <c r="AM26" s="211">
        <f t="shared" si="19"/>
        <v>0</v>
      </c>
      <c r="AN26" s="211">
        <f t="shared" si="19"/>
        <v>0</v>
      </c>
      <c r="AO26" s="211">
        <f t="shared" si="19"/>
        <v>0</v>
      </c>
      <c r="AP26" s="211">
        <f t="shared" si="19"/>
        <v>0</v>
      </c>
      <c r="AQ26" s="211">
        <f t="shared" si="19"/>
        <v>0</v>
      </c>
      <c r="AR26" s="211">
        <f t="shared" si="19"/>
        <v>0</v>
      </c>
      <c r="AS26" s="211">
        <f t="shared" si="19"/>
        <v>0</v>
      </c>
      <c r="AT26" s="211">
        <f t="shared" si="20"/>
        <v>0</v>
      </c>
      <c r="AU26" s="211">
        <f t="shared" si="20"/>
        <v>0</v>
      </c>
      <c r="AV26" s="211">
        <f t="shared" si="20"/>
        <v>0</v>
      </c>
      <c r="AW26" s="211">
        <f t="shared" si="20"/>
        <v>0</v>
      </c>
      <c r="AX26" s="211">
        <f t="shared" si="20"/>
        <v>0</v>
      </c>
      <c r="AY26" s="211">
        <f t="shared" si="20"/>
        <v>0</v>
      </c>
      <c r="AZ26" s="211">
        <f t="shared" si="20"/>
        <v>0</v>
      </c>
      <c r="BA26" s="211">
        <f t="shared" si="20"/>
        <v>0</v>
      </c>
      <c r="BB26" s="211">
        <f t="shared" si="20"/>
        <v>0</v>
      </c>
      <c r="BC26" s="211">
        <f t="shared" si="20"/>
        <v>0</v>
      </c>
      <c r="BD26" s="211">
        <f t="shared" si="21"/>
        <v>0</v>
      </c>
      <c r="BE26" s="211">
        <f t="shared" si="21"/>
        <v>0</v>
      </c>
      <c r="BF26" s="211">
        <f t="shared" si="21"/>
        <v>0</v>
      </c>
      <c r="BG26" s="211">
        <f t="shared" si="21"/>
        <v>0</v>
      </c>
      <c r="BH26" s="211">
        <f t="shared" si="21"/>
        <v>0</v>
      </c>
      <c r="BI26" s="211">
        <f t="shared" si="21"/>
        <v>0</v>
      </c>
      <c r="BJ26" s="211">
        <f t="shared" si="21"/>
        <v>0</v>
      </c>
      <c r="BK26" s="211">
        <f t="shared" si="21"/>
        <v>0</v>
      </c>
      <c r="BL26" s="211">
        <f t="shared" si="21"/>
        <v>0</v>
      </c>
      <c r="BM26" s="211">
        <f t="shared" si="21"/>
        <v>0</v>
      </c>
      <c r="BN26" s="211">
        <f t="shared" si="22"/>
        <v>0</v>
      </c>
      <c r="BO26" s="211">
        <f t="shared" si="22"/>
        <v>0</v>
      </c>
      <c r="BP26" s="211">
        <f t="shared" si="22"/>
        <v>0</v>
      </c>
      <c r="BQ26" s="211">
        <f t="shared" si="22"/>
        <v>0</v>
      </c>
      <c r="BR26" s="211">
        <f t="shared" si="22"/>
        <v>0</v>
      </c>
      <c r="BS26" s="211">
        <f t="shared" si="22"/>
        <v>0</v>
      </c>
      <c r="BT26" s="211">
        <f t="shared" si="22"/>
        <v>0</v>
      </c>
      <c r="BU26" s="211">
        <f t="shared" si="22"/>
        <v>0</v>
      </c>
      <c r="BV26" s="211">
        <f t="shared" si="22"/>
        <v>0</v>
      </c>
      <c r="BW26" s="211">
        <f t="shared" si="22"/>
        <v>0</v>
      </c>
      <c r="BX26" s="211">
        <f t="shared" si="23"/>
        <v>0</v>
      </c>
      <c r="BY26" s="211">
        <f t="shared" si="23"/>
        <v>0</v>
      </c>
      <c r="BZ26" s="211">
        <f t="shared" si="23"/>
        <v>0</v>
      </c>
      <c r="CA26" s="211">
        <f t="shared" si="23"/>
        <v>0</v>
      </c>
      <c r="CB26" s="211">
        <f t="shared" si="23"/>
        <v>0</v>
      </c>
      <c r="CC26" s="211">
        <f t="shared" si="23"/>
        <v>0</v>
      </c>
      <c r="CD26" s="211">
        <f t="shared" si="23"/>
        <v>0</v>
      </c>
      <c r="CE26" s="211">
        <f t="shared" si="23"/>
        <v>0</v>
      </c>
      <c r="CF26" s="211">
        <f t="shared" si="23"/>
        <v>0</v>
      </c>
      <c r="CG26" s="211">
        <f t="shared" si="23"/>
        <v>0</v>
      </c>
      <c r="CH26" s="211">
        <f t="shared" si="24"/>
        <v>0</v>
      </c>
      <c r="CI26" s="211">
        <f t="shared" si="24"/>
        <v>0</v>
      </c>
      <c r="CJ26" s="211">
        <f t="shared" si="24"/>
        <v>0</v>
      </c>
      <c r="CK26" s="211">
        <f t="shared" si="24"/>
        <v>0</v>
      </c>
      <c r="CL26" s="211">
        <f t="shared" si="24"/>
        <v>372.18461538461537</v>
      </c>
      <c r="CM26" s="211">
        <f t="shared" si="24"/>
        <v>744.36923076923074</v>
      </c>
      <c r="CN26" s="211">
        <f t="shared" si="24"/>
        <v>1116.5538461538461</v>
      </c>
      <c r="CO26" s="211">
        <f t="shared" si="24"/>
        <v>1488.7384615384615</v>
      </c>
      <c r="CP26" s="211">
        <f t="shared" si="24"/>
        <v>1860.9230769230769</v>
      </c>
      <c r="CQ26" s="211">
        <f t="shared" si="24"/>
        <v>2233.1076923076921</v>
      </c>
      <c r="CR26" s="211">
        <f t="shared" si="25"/>
        <v>2605.2923076923075</v>
      </c>
      <c r="CS26" s="211">
        <f t="shared" si="25"/>
        <v>2977.476923076923</v>
      </c>
      <c r="CT26" s="211">
        <f t="shared" si="25"/>
        <v>3349.6615384615384</v>
      </c>
      <c r="CU26" s="211">
        <f t="shared" si="25"/>
        <v>3721.8461538461538</v>
      </c>
      <c r="CV26" s="211">
        <f t="shared" si="25"/>
        <v>4094.0307692307688</v>
      </c>
      <c r="CW26" s="211">
        <f t="shared" si="25"/>
        <v>4466.2153846153842</v>
      </c>
      <c r="CX26" s="211">
        <f t="shared" si="25"/>
        <v>4838.3999999999996</v>
      </c>
      <c r="CY26" s="211">
        <f t="shared" si="25"/>
        <v>4838.3999999999996</v>
      </c>
      <c r="CZ26" s="211">
        <f t="shared" si="25"/>
        <v>4838.3999999999996</v>
      </c>
      <c r="DA26" s="211">
        <f t="shared" si="25"/>
        <v>4838.3999999999996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166.87229187021356</v>
      </c>
      <c r="D27" s="204">
        <f>Income!D74</f>
        <v>445.51575406420721</v>
      </c>
      <c r="E27" s="204">
        <f>Income!E74</f>
        <v>1349.2615307145268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0</v>
      </c>
      <c r="V27" s="211">
        <f t="shared" si="17"/>
        <v>0</v>
      </c>
      <c r="W27" s="211">
        <f t="shared" si="17"/>
        <v>0</v>
      </c>
      <c r="X27" s="211">
        <f t="shared" si="17"/>
        <v>0</v>
      </c>
      <c r="Y27" s="211">
        <f t="shared" si="17"/>
        <v>0</v>
      </c>
      <c r="Z27" s="211">
        <f t="shared" si="18"/>
        <v>0</v>
      </c>
      <c r="AA27" s="211">
        <f t="shared" si="18"/>
        <v>4.5100619424382042</v>
      </c>
      <c r="AB27" s="211">
        <f t="shared" si="18"/>
        <v>9.0201238848764085</v>
      </c>
      <c r="AC27" s="211">
        <f t="shared" si="18"/>
        <v>13.530185827314614</v>
      </c>
      <c r="AD27" s="211">
        <f t="shared" si="18"/>
        <v>18.040247769752817</v>
      </c>
      <c r="AE27" s="211">
        <f t="shared" si="18"/>
        <v>22.550309712191019</v>
      </c>
      <c r="AF27" s="211">
        <f t="shared" si="18"/>
        <v>27.060371654629229</v>
      </c>
      <c r="AG27" s="211">
        <f t="shared" si="18"/>
        <v>31.570433597067431</v>
      </c>
      <c r="AH27" s="211">
        <f t="shared" si="18"/>
        <v>36.080495539505634</v>
      </c>
      <c r="AI27" s="211">
        <f t="shared" si="18"/>
        <v>40.59055748194384</v>
      </c>
      <c r="AJ27" s="211">
        <f t="shared" si="19"/>
        <v>45.100619424382039</v>
      </c>
      <c r="AK27" s="211">
        <f t="shared" si="19"/>
        <v>49.610681366820245</v>
      </c>
      <c r="AL27" s="211">
        <f t="shared" si="19"/>
        <v>54.120743309258458</v>
      </c>
      <c r="AM27" s="211">
        <f t="shared" si="19"/>
        <v>58.63080525169665</v>
      </c>
      <c r="AN27" s="211">
        <f t="shared" si="19"/>
        <v>63.140867194134863</v>
      </c>
      <c r="AO27" s="211">
        <f t="shared" si="19"/>
        <v>67.650929136573055</v>
      </c>
      <c r="AP27" s="211">
        <f t="shared" si="19"/>
        <v>72.160991079011268</v>
      </c>
      <c r="AQ27" s="211">
        <f t="shared" si="19"/>
        <v>76.671053021449481</v>
      </c>
      <c r="AR27" s="211">
        <f t="shared" si="19"/>
        <v>81.18111496388768</v>
      </c>
      <c r="AS27" s="211">
        <f t="shared" si="19"/>
        <v>85.691176906325879</v>
      </c>
      <c r="AT27" s="211">
        <f t="shared" si="20"/>
        <v>90.201238848764078</v>
      </c>
      <c r="AU27" s="211">
        <f t="shared" si="20"/>
        <v>94.711300791202291</v>
      </c>
      <c r="AV27" s="211">
        <f t="shared" si="20"/>
        <v>99.22136273364049</v>
      </c>
      <c r="AW27" s="211">
        <f t="shared" si="20"/>
        <v>103.7314246760787</v>
      </c>
      <c r="AX27" s="211">
        <f t="shared" si="20"/>
        <v>108.24148661851692</v>
      </c>
      <c r="AY27" s="211">
        <f t="shared" si="20"/>
        <v>112.7515485609551</v>
      </c>
      <c r="AZ27" s="211">
        <f t="shared" si="20"/>
        <v>117.2616105033933</v>
      </c>
      <c r="BA27" s="211">
        <f t="shared" si="20"/>
        <v>121.77167244583153</v>
      </c>
      <c r="BB27" s="211">
        <f t="shared" si="20"/>
        <v>126.28173438826973</v>
      </c>
      <c r="BC27" s="211">
        <f t="shared" si="20"/>
        <v>130.79179633070791</v>
      </c>
      <c r="BD27" s="211">
        <f t="shared" si="21"/>
        <v>135.30185827314611</v>
      </c>
      <c r="BE27" s="211">
        <f t="shared" si="21"/>
        <v>139.81192021558434</v>
      </c>
      <c r="BF27" s="211">
        <f t="shared" si="21"/>
        <v>144.32198215802254</v>
      </c>
      <c r="BG27" s="211">
        <f t="shared" si="21"/>
        <v>148.83204410046073</v>
      </c>
      <c r="BH27" s="211">
        <f t="shared" si="21"/>
        <v>153.34210604289896</v>
      </c>
      <c r="BI27" s="211">
        <f t="shared" si="21"/>
        <v>157.85216798533716</v>
      </c>
      <c r="BJ27" s="211">
        <f t="shared" si="21"/>
        <v>162.36222992777536</v>
      </c>
      <c r="BK27" s="211">
        <f t="shared" si="21"/>
        <v>166.87229187021356</v>
      </c>
      <c r="BL27" s="211">
        <f t="shared" si="21"/>
        <v>177.58934810844409</v>
      </c>
      <c r="BM27" s="211">
        <f t="shared" si="21"/>
        <v>188.30640434667461</v>
      </c>
      <c r="BN27" s="211">
        <f t="shared" si="22"/>
        <v>199.02346058490514</v>
      </c>
      <c r="BO27" s="211">
        <f t="shared" si="22"/>
        <v>209.74051682313566</v>
      </c>
      <c r="BP27" s="211">
        <f t="shared" si="22"/>
        <v>220.45757306136619</v>
      </c>
      <c r="BQ27" s="211">
        <f t="shared" si="22"/>
        <v>231.17462929959669</v>
      </c>
      <c r="BR27" s="211">
        <f t="shared" si="22"/>
        <v>241.89168553782724</v>
      </c>
      <c r="BS27" s="211">
        <f t="shared" si="22"/>
        <v>252.60874177605774</v>
      </c>
      <c r="BT27" s="211">
        <f t="shared" si="22"/>
        <v>263.32579801428824</v>
      </c>
      <c r="BU27" s="211">
        <f t="shared" si="22"/>
        <v>274.04285425251879</v>
      </c>
      <c r="BV27" s="211">
        <f t="shared" si="22"/>
        <v>284.75991049074935</v>
      </c>
      <c r="BW27" s="211">
        <f t="shared" si="22"/>
        <v>295.47696672897985</v>
      </c>
      <c r="BX27" s="211">
        <f t="shared" si="23"/>
        <v>306.19402296721034</v>
      </c>
      <c r="BY27" s="211">
        <f t="shared" si="23"/>
        <v>316.9110792054409</v>
      </c>
      <c r="BZ27" s="211">
        <f t="shared" si="23"/>
        <v>327.62813544367145</v>
      </c>
      <c r="CA27" s="211">
        <f t="shared" si="23"/>
        <v>338.34519168190195</v>
      </c>
      <c r="CB27" s="211">
        <f t="shared" si="23"/>
        <v>349.06224792013245</v>
      </c>
      <c r="CC27" s="211">
        <f t="shared" si="23"/>
        <v>359.77930415836295</v>
      </c>
      <c r="CD27" s="211">
        <f t="shared" si="23"/>
        <v>370.49636039659356</v>
      </c>
      <c r="CE27" s="211">
        <f t="shared" si="23"/>
        <v>381.21341663482406</v>
      </c>
      <c r="CF27" s="211">
        <f t="shared" si="23"/>
        <v>391.93047287305455</v>
      </c>
      <c r="CG27" s="211">
        <f t="shared" si="23"/>
        <v>402.64752911128511</v>
      </c>
      <c r="CH27" s="211">
        <f t="shared" si="24"/>
        <v>413.36458534951566</v>
      </c>
      <c r="CI27" s="211">
        <f t="shared" si="24"/>
        <v>424.08164158774616</v>
      </c>
      <c r="CJ27" s="211">
        <f t="shared" si="24"/>
        <v>434.79869782597666</v>
      </c>
      <c r="CK27" s="211">
        <f t="shared" si="24"/>
        <v>445.51575406420716</v>
      </c>
      <c r="CL27" s="211">
        <f t="shared" si="24"/>
        <v>515.03465996038562</v>
      </c>
      <c r="CM27" s="211">
        <f t="shared" si="24"/>
        <v>584.55356585656409</v>
      </c>
      <c r="CN27" s="211">
        <f t="shared" si="24"/>
        <v>654.07247175274256</v>
      </c>
      <c r="CO27" s="211">
        <f t="shared" si="24"/>
        <v>723.59137764892102</v>
      </c>
      <c r="CP27" s="211">
        <f t="shared" si="24"/>
        <v>793.11028354509938</v>
      </c>
      <c r="CQ27" s="211">
        <f t="shared" si="24"/>
        <v>862.62918944127784</v>
      </c>
      <c r="CR27" s="211">
        <f t="shared" si="25"/>
        <v>932.1480953374562</v>
      </c>
      <c r="CS27" s="211">
        <f t="shared" si="25"/>
        <v>1001.6670012336347</v>
      </c>
      <c r="CT27" s="211">
        <f t="shared" si="25"/>
        <v>1071.1859071298131</v>
      </c>
      <c r="CU27" s="211">
        <f t="shared" si="25"/>
        <v>1140.7048130259916</v>
      </c>
      <c r="CV27" s="211">
        <f t="shared" si="25"/>
        <v>1210.2237189221698</v>
      </c>
      <c r="CW27" s="211">
        <f t="shared" si="25"/>
        <v>1279.7426248183485</v>
      </c>
      <c r="CX27" s="211">
        <f t="shared" si="25"/>
        <v>1349.2615307145268</v>
      </c>
      <c r="CY27" s="211">
        <f t="shared" si="25"/>
        <v>1349.2615307145268</v>
      </c>
      <c r="CZ27" s="211">
        <f t="shared" si="25"/>
        <v>1349.2615307145268</v>
      </c>
      <c r="DA27" s="211">
        <f t="shared" si="25"/>
        <v>1349.2615307145268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0</v>
      </c>
      <c r="C29" s="204">
        <f>Income!C76</f>
        <v>4065.6</v>
      </c>
      <c r="D29" s="204">
        <f>Income!D76</f>
        <v>11872.000000000002</v>
      </c>
      <c r="E29" s="204">
        <f>Income!E76</f>
        <v>23654.400000000005</v>
      </c>
      <c r="F29" s="211">
        <f t="shared" si="16"/>
        <v>0</v>
      </c>
      <c r="G29" s="211">
        <f t="shared" si="16"/>
        <v>0</v>
      </c>
      <c r="H29" s="211">
        <f t="shared" si="16"/>
        <v>0</v>
      </c>
      <c r="I29" s="211">
        <f t="shared" si="16"/>
        <v>0</v>
      </c>
      <c r="J29" s="211">
        <f t="shared" si="16"/>
        <v>0</v>
      </c>
      <c r="K29" s="211">
        <f t="shared" si="16"/>
        <v>0</v>
      </c>
      <c r="L29" s="211">
        <f t="shared" si="16"/>
        <v>0</v>
      </c>
      <c r="M29" s="211">
        <f t="shared" si="16"/>
        <v>0</v>
      </c>
      <c r="N29" s="211">
        <f t="shared" si="16"/>
        <v>0</v>
      </c>
      <c r="O29" s="211">
        <f t="shared" si="16"/>
        <v>0</v>
      </c>
      <c r="P29" s="211">
        <f t="shared" si="17"/>
        <v>0</v>
      </c>
      <c r="Q29" s="211">
        <f t="shared" si="17"/>
        <v>0</v>
      </c>
      <c r="R29" s="211">
        <f t="shared" si="17"/>
        <v>0</v>
      </c>
      <c r="S29" s="211">
        <f t="shared" si="17"/>
        <v>0</v>
      </c>
      <c r="T29" s="211">
        <f t="shared" si="17"/>
        <v>0</v>
      </c>
      <c r="U29" s="211">
        <f t="shared" si="17"/>
        <v>0</v>
      </c>
      <c r="V29" s="211">
        <f t="shared" si="17"/>
        <v>0</v>
      </c>
      <c r="W29" s="211">
        <f t="shared" si="17"/>
        <v>0</v>
      </c>
      <c r="X29" s="211">
        <f t="shared" si="17"/>
        <v>0</v>
      </c>
      <c r="Y29" s="211">
        <f t="shared" si="17"/>
        <v>0</v>
      </c>
      <c r="Z29" s="211">
        <f t="shared" si="18"/>
        <v>0</v>
      </c>
      <c r="AA29" s="211">
        <f t="shared" si="18"/>
        <v>109.88108108108108</v>
      </c>
      <c r="AB29" s="211">
        <f t="shared" si="18"/>
        <v>219.76216216216216</v>
      </c>
      <c r="AC29" s="211">
        <f t="shared" si="18"/>
        <v>329.64324324324321</v>
      </c>
      <c r="AD29" s="211">
        <f t="shared" si="18"/>
        <v>439.52432432432431</v>
      </c>
      <c r="AE29" s="211">
        <f t="shared" si="18"/>
        <v>549.40540540540542</v>
      </c>
      <c r="AF29" s="211">
        <f t="shared" si="18"/>
        <v>659.28648648648641</v>
      </c>
      <c r="AG29" s="211">
        <f t="shared" si="18"/>
        <v>769.16756756756763</v>
      </c>
      <c r="AH29" s="211">
        <f t="shared" si="18"/>
        <v>879.04864864864862</v>
      </c>
      <c r="AI29" s="211">
        <f t="shared" si="18"/>
        <v>988.92972972972973</v>
      </c>
      <c r="AJ29" s="211">
        <f t="shared" si="19"/>
        <v>1098.8108108108108</v>
      </c>
      <c r="AK29" s="211">
        <f t="shared" si="19"/>
        <v>1208.6918918918918</v>
      </c>
      <c r="AL29" s="211">
        <f t="shared" si="19"/>
        <v>1318.5729729729728</v>
      </c>
      <c r="AM29" s="211">
        <f t="shared" si="19"/>
        <v>1428.454054054054</v>
      </c>
      <c r="AN29" s="211">
        <f t="shared" si="19"/>
        <v>1538.3351351351353</v>
      </c>
      <c r="AO29" s="211">
        <f t="shared" si="19"/>
        <v>1648.2162162162163</v>
      </c>
      <c r="AP29" s="211">
        <f t="shared" si="19"/>
        <v>1758.0972972972972</v>
      </c>
      <c r="AQ29" s="211">
        <f t="shared" si="19"/>
        <v>1867.9783783783782</v>
      </c>
      <c r="AR29" s="211">
        <f t="shared" si="19"/>
        <v>1977.8594594594595</v>
      </c>
      <c r="AS29" s="211">
        <f t="shared" si="19"/>
        <v>2087.7405405405402</v>
      </c>
      <c r="AT29" s="211">
        <f t="shared" si="20"/>
        <v>2197.6216216216217</v>
      </c>
      <c r="AU29" s="211">
        <f t="shared" si="20"/>
        <v>2307.5027027027027</v>
      </c>
      <c r="AV29" s="211">
        <f t="shared" si="20"/>
        <v>2417.3837837837837</v>
      </c>
      <c r="AW29" s="211">
        <f t="shared" si="20"/>
        <v>2527.2648648648651</v>
      </c>
      <c r="AX29" s="211">
        <f t="shared" si="20"/>
        <v>2637.1459459459456</v>
      </c>
      <c r="AY29" s="211">
        <f t="shared" si="20"/>
        <v>2747.0270270270271</v>
      </c>
      <c r="AZ29" s="211">
        <f t="shared" si="20"/>
        <v>2856.9081081081081</v>
      </c>
      <c r="BA29" s="211">
        <f t="shared" si="20"/>
        <v>2966.7891891891891</v>
      </c>
      <c r="BB29" s="211">
        <f t="shared" si="20"/>
        <v>3076.6702702702705</v>
      </c>
      <c r="BC29" s="211">
        <f t="shared" si="20"/>
        <v>3186.5513513513511</v>
      </c>
      <c r="BD29" s="211">
        <f t="shared" si="21"/>
        <v>3296.4324324324325</v>
      </c>
      <c r="BE29" s="211">
        <f t="shared" si="21"/>
        <v>3406.3135135135135</v>
      </c>
      <c r="BF29" s="211">
        <f t="shared" si="21"/>
        <v>3516.1945945945945</v>
      </c>
      <c r="BG29" s="211">
        <f t="shared" si="21"/>
        <v>3626.0756756756755</v>
      </c>
      <c r="BH29" s="211">
        <f t="shared" si="21"/>
        <v>3735.9567567567565</v>
      </c>
      <c r="BI29" s="211">
        <f t="shared" si="21"/>
        <v>3845.8378378378379</v>
      </c>
      <c r="BJ29" s="211">
        <f t="shared" si="21"/>
        <v>3955.7189189189189</v>
      </c>
      <c r="BK29" s="211">
        <f t="shared" si="21"/>
        <v>4065.5999999999995</v>
      </c>
      <c r="BL29" s="211">
        <f t="shared" si="21"/>
        <v>4365.8461538461543</v>
      </c>
      <c r="BM29" s="211">
        <f t="shared" si="21"/>
        <v>4666.0923076923082</v>
      </c>
      <c r="BN29" s="211">
        <f t="shared" si="22"/>
        <v>4966.3384615384621</v>
      </c>
      <c r="BO29" s="211">
        <f t="shared" si="22"/>
        <v>5266.584615384616</v>
      </c>
      <c r="BP29" s="211">
        <f t="shared" si="22"/>
        <v>5566.8307692307699</v>
      </c>
      <c r="BQ29" s="211">
        <f t="shared" si="22"/>
        <v>5867.0769230769238</v>
      </c>
      <c r="BR29" s="211">
        <f t="shared" si="22"/>
        <v>6167.3230769230777</v>
      </c>
      <c r="BS29" s="211">
        <f t="shared" si="22"/>
        <v>6467.5692307692316</v>
      </c>
      <c r="BT29" s="211">
        <f t="shared" si="22"/>
        <v>6767.8153846153846</v>
      </c>
      <c r="BU29" s="211">
        <f t="shared" si="22"/>
        <v>7068.0615384615394</v>
      </c>
      <c r="BV29" s="211">
        <f t="shared" si="22"/>
        <v>7368.3076923076933</v>
      </c>
      <c r="BW29" s="211">
        <f t="shared" si="22"/>
        <v>7668.5538461538472</v>
      </c>
      <c r="BX29" s="211">
        <f t="shared" si="23"/>
        <v>7968.8</v>
      </c>
      <c r="BY29" s="211">
        <f t="shared" si="23"/>
        <v>8269.046153846155</v>
      </c>
      <c r="BZ29" s="211">
        <f t="shared" si="23"/>
        <v>8569.2923076923089</v>
      </c>
      <c r="CA29" s="211">
        <f t="shared" si="23"/>
        <v>8869.5384615384628</v>
      </c>
      <c r="CB29" s="211">
        <f t="shared" si="23"/>
        <v>9169.7846153846167</v>
      </c>
      <c r="CC29" s="211">
        <f t="shared" si="23"/>
        <v>9470.0307692307688</v>
      </c>
      <c r="CD29" s="211">
        <f t="shared" si="23"/>
        <v>9770.2769230769245</v>
      </c>
      <c r="CE29" s="211">
        <f t="shared" si="23"/>
        <v>10070.523076923078</v>
      </c>
      <c r="CF29" s="211">
        <f t="shared" si="23"/>
        <v>10370.769230769232</v>
      </c>
      <c r="CG29" s="211">
        <f t="shared" si="23"/>
        <v>10671.015384615386</v>
      </c>
      <c r="CH29" s="211">
        <f t="shared" si="24"/>
        <v>10971.26153846154</v>
      </c>
      <c r="CI29" s="211">
        <f t="shared" si="24"/>
        <v>11271.507692307694</v>
      </c>
      <c r="CJ29" s="211">
        <f t="shared" si="24"/>
        <v>11571.753846153848</v>
      </c>
      <c r="CK29" s="211">
        <f t="shared" si="24"/>
        <v>11872</v>
      </c>
      <c r="CL29" s="211">
        <f t="shared" si="24"/>
        <v>12778.338461538464</v>
      </c>
      <c r="CM29" s="211">
        <f t="shared" si="24"/>
        <v>13684.676923076926</v>
      </c>
      <c r="CN29" s="211">
        <f t="shared" si="24"/>
        <v>14591.015384615388</v>
      </c>
      <c r="CO29" s="211">
        <f t="shared" si="24"/>
        <v>15497.353846153848</v>
      </c>
      <c r="CP29" s="211">
        <f t="shared" si="24"/>
        <v>16403.692307692312</v>
      </c>
      <c r="CQ29" s="211">
        <f t="shared" si="24"/>
        <v>17310.030769230772</v>
      </c>
      <c r="CR29" s="211">
        <f t="shared" si="25"/>
        <v>18216.369230769233</v>
      </c>
      <c r="CS29" s="211">
        <f t="shared" si="25"/>
        <v>19122.707692307697</v>
      </c>
      <c r="CT29" s="211">
        <f t="shared" si="25"/>
        <v>20029.04615384616</v>
      </c>
      <c r="CU29" s="211">
        <f t="shared" si="25"/>
        <v>20935.384615384617</v>
      </c>
      <c r="CV29" s="211">
        <f t="shared" si="25"/>
        <v>21841.723076923081</v>
      </c>
      <c r="CW29" s="211">
        <f t="shared" si="25"/>
        <v>22748.061538461545</v>
      </c>
      <c r="CX29" s="211">
        <f t="shared" si="25"/>
        <v>23654.400000000005</v>
      </c>
      <c r="CY29" s="211">
        <f t="shared" si="25"/>
        <v>23654.400000000005</v>
      </c>
      <c r="CZ29" s="211">
        <f t="shared" si="25"/>
        <v>23654.400000000005</v>
      </c>
      <c r="DA29" s="211">
        <f t="shared" si="25"/>
        <v>23654.400000000005</v>
      </c>
    </row>
    <row r="30" spans="1:105">
      <c r="A30" s="202" t="str">
        <f>Income!A77</f>
        <v>Wild foods consumed and sold</v>
      </c>
      <c r="B30" s="204">
        <f>Income!B77</f>
        <v>0</v>
      </c>
      <c r="C30" s="204">
        <f>Income!C77</f>
        <v>0</v>
      </c>
      <c r="D30" s="204">
        <f>Income!D77</f>
        <v>0</v>
      </c>
      <c r="E30" s="204">
        <f>Income!E77</f>
        <v>0</v>
      </c>
      <c r="F30" s="211">
        <f t="shared" si="16"/>
        <v>0</v>
      </c>
      <c r="G30" s="211">
        <f t="shared" si="16"/>
        <v>0</v>
      </c>
      <c r="H30" s="211">
        <f t="shared" si="16"/>
        <v>0</v>
      </c>
      <c r="I30" s="211">
        <f t="shared" si="16"/>
        <v>0</v>
      </c>
      <c r="J30" s="211">
        <f t="shared" si="16"/>
        <v>0</v>
      </c>
      <c r="K30" s="211">
        <f t="shared" si="16"/>
        <v>0</v>
      </c>
      <c r="L30" s="211">
        <f t="shared" si="16"/>
        <v>0</v>
      </c>
      <c r="M30" s="211">
        <f t="shared" si="16"/>
        <v>0</v>
      </c>
      <c r="N30" s="211">
        <f t="shared" si="16"/>
        <v>0</v>
      </c>
      <c r="O30" s="211">
        <f t="shared" si="16"/>
        <v>0</v>
      </c>
      <c r="P30" s="211">
        <f t="shared" si="17"/>
        <v>0</v>
      </c>
      <c r="Q30" s="211">
        <f t="shared" si="17"/>
        <v>0</v>
      </c>
      <c r="R30" s="211">
        <f t="shared" si="17"/>
        <v>0</v>
      </c>
      <c r="S30" s="211">
        <f t="shared" si="17"/>
        <v>0</v>
      </c>
      <c r="T30" s="211">
        <f t="shared" si="17"/>
        <v>0</v>
      </c>
      <c r="U30" s="211">
        <f t="shared" si="17"/>
        <v>0</v>
      </c>
      <c r="V30" s="211">
        <f t="shared" si="17"/>
        <v>0</v>
      </c>
      <c r="W30" s="211">
        <f t="shared" si="17"/>
        <v>0</v>
      </c>
      <c r="X30" s="211">
        <f t="shared" si="17"/>
        <v>0</v>
      </c>
      <c r="Y30" s="211">
        <f t="shared" si="17"/>
        <v>0</v>
      </c>
      <c r="Z30" s="211">
        <f t="shared" si="18"/>
        <v>0</v>
      </c>
      <c r="AA30" s="211">
        <f t="shared" si="18"/>
        <v>0</v>
      </c>
      <c r="AB30" s="211">
        <f t="shared" si="18"/>
        <v>0</v>
      </c>
      <c r="AC30" s="211">
        <f t="shared" si="18"/>
        <v>0</v>
      </c>
      <c r="AD30" s="211">
        <f t="shared" si="18"/>
        <v>0</v>
      </c>
      <c r="AE30" s="211">
        <f t="shared" si="18"/>
        <v>0</v>
      </c>
      <c r="AF30" s="211">
        <f t="shared" si="18"/>
        <v>0</v>
      </c>
      <c r="AG30" s="211">
        <f t="shared" si="18"/>
        <v>0</v>
      </c>
      <c r="AH30" s="211">
        <f t="shared" si="18"/>
        <v>0</v>
      </c>
      <c r="AI30" s="211">
        <f t="shared" si="18"/>
        <v>0</v>
      </c>
      <c r="AJ30" s="211">
        <f t="shared" si="19"/>
        <v>0</v>
      </c>
      <c r="AK30" s="211">
        <f t="shared" si="19"/>
        <v>0</v>
      </c>
      <c r="AL30" s="211">
        <f t="shared" si="19"/>
        <v>0</v>
      </c>
      <c r="AM30" s="211">
        <f t="shared" si="19"/>
        <v>0</v>
      </c>
      <c r="AN30" s="211">
        <f t="shared" si="19"/>
        <v>0</v>
      </c>
      <c r="AO30" s="211">
        <f t="shared" si="19"/>
        <v>0</v>
      </c>
      <c r="AP30" s="211">
        <f t="shared" si="19"/>
        <v>0</v>
      </c>
      <c r="AQ30" s="211">
        <f t="shared" si="19"/>
        <v>0</v>
      </c>
      <c r="AR30" s="211">
        <f t="shared" si="19"/>
        <v>0</v>
      </c>
      <c r="AS30" s="211">
        <f t="shared" si="19"/>
        <v>0</v>
      </c>
      <c r="AT30" s="211">
        <f t="shared" si="20"/>
        <v>0</v>
      </c>
      <c r="AU30" s="211">
        <f t="shared" si="20"/>
        <v>0</v>
      </c>
      <c r="AV30" s="211">
        <f t="shared" si="20"/>
        <v>0</v>
      </c>
      <c r="AW30" s="211">
        <f t="shared" si="20"/>
        <v>0</v>
      </c>
      <c r="AX30" s="211">
        <f t="shared" si="20"/>
        <v>0</v>
      </c>
      <c r="AY30" s="211">
        <f t="shared" si="20"/>
        <v>0</v>
      </c>
      <c r="AZ30" s="211">
        <f t="shared" si="20"/>
        <v>0</v>
      </c>
      <c r="BA30" s="211">
        <f t="shared" si="20"/>
        <v>0</v>
      </c>
      <c r="BB30" s="211">
        <f t="shared" si="20"/>
        <v>0</v>
      </c>
      <c r="BC30" s="211">
        <f t="shared" si="20"/>
        <v>0</v>
      </c>
      <c r="BD30" s="211">
        <f t="shared" si="21"/>
        <v>0</v>
      </c>
      <c r="BE30" s="211">
        <f t="shared" si="21"/>
        <v>0</v>
      </c>
      <c r="BF30" s="211">
        <f t="shared" si="21"/>
        <v>0</v>
      </c>
      <c r="BG30" s="211">
        <f t="shared" si="21"/>
        <v>0</v>
      </c>
      <c r="BH30" s="211">
        <f t="shared" si="21"/>
        <v>0</v>
      </c>
      <c r="BI30" s="211">
        <f t="shared" si="21"/>
        <v>0</v>
      </c>
      <c r="BJ30" s="211">
        <f t="shared" si="21"/>
        <v>0</v>
      </c>
      <c r="BK30" s="211">
        <f t="shared" si="21"/>
        <v>0</v>
      </c>
      <c r="BL30" s="211">
        <f t="shared" si="21"/>
        <v>0</v>
      </c>
      <c r="BM30" s="211">
        <f t="shared" si="21"/>
        <v>0</v>
      </c>
      <c r="BN30" s="211">
        <f t="shared" si="22"/>
        <v>0</v>
      </c>
      <c r="BO30" s="211">
        <f t="shared" si="22"/>
        <v>0</v>
      </c>
      <c r="BP30" s="211">
        <f t="shared" si="22"/>
        <v>0</v>
      </c>
      <c r="BQ30" s="211">
        <f t="shared" si="22"/>
        <v>0</v>
      </c>
      <c r="BR30" s="211">
        <f t="shared" si="22"/>
        <v>0</v>
      </c>
      <c r="BS30" s="211">
        <f t="shared" si="22"/>
        <v>0</v>
      </c>
      <c r="BT30" s="211">
        <f t="shared" si="22"/>
        <v>0</v>
      </c>
      <c r="BU30" s="211">
        <f t="shared" si="22"/>
        <v>0</v>
      </c>
      <c r="BV30" s="211">
        <f t="shared" si="22"/>
        <v>0</v>
      </c>
      <c r="BW30" s="211">
        <f t="shared" si="22"/>
        <v>0</v>
      </c>
      <c r="BX30" s="211">
        <f t="shared" si="23"/>
        <v>0</v>
      </c>
      <c r="BY30" s="211">
        <f t="shared" si="23"/>
        <v>0</v>
      </c>
      <c r="BZ30" s="211">
        <f t="shared" si="23"/>
        <v>0</v>
      </c>
      <c r="CA30" s="211">
        <f t="shared" si="23"/>
        <v>0</v>
      </c>
      <c r="CB30" s="211">
        <f t="shared" si="23"/>
        <v>0</v>
      </c>
      <c r="CC30" s="211">
        <f t="shared" si="23"/>
        <v>0</v>
      </c>
      <c r="CD30" s="211">
        <f t="shared" si="23"/>
        <v>0</v>
      </c>
      <c r="CE30" s="211">
        <f t="shared" si="23"/>
        <v>0</v>
      </c>
      <c r="CF30" s="211">
        <f t="shared" si="23"/>
        <v>0</v>
      </c>
      <c r="CG30" s="211">
        <f t="shared" si="23"/>
        <v>0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9858.2400000000016</v>
      </c>
      <c r="C31" s="204">
        <f>Income!C78</f>
        <v>14464.800000000003</v>
      </c>
      <c r="D31" s="204">
        <f>Income!D78</f>
        <v>840</v>
      </c>
      <c r="E31" s="204">
        <f>Income!E78</f>
        <v>0</v>
      </c>
      <c r="F31" s="211">
        <f t="shared" si="16"/>
        <v>9858.2400000000016</v>
      </c>
      <c r="G31" s="211">
        <f t="shared" si="16"/>
        <v>9858.2400000000016</v>
      </c>
      <c r="H31" s="211">
        <f t="shared" si="16"/>
        <v>9858.2400000000016</v>
      </c>
      <c r="I31" s="211">
        <f t="shared" si="16"/>
        <v>9858.2400000000016</v>
      </c>
      <c r="J31" s="211">
        <f t="shared" si="16"/>
        <v>9858.2400000000016</v>
      </c>
      <c r="K31" s="211">
        <f t="shared" si="16"/>
        <v>9858.2400000000016</v>
      </c>
      <c r="L31" s="211">
        <f t="shared" si="16"/>
        <v>9858.2400000000016</v>
      </c>
      <c r="M31" s="211">
        <f t="shared" si="16"/>
        <v>9858.2400000000016</v>
      </c>
      <c r="N31" s="211">
        <f t="shared" si="16"/>
        <v>9858.2400000000016</v>
      </c>
      <c r="O31" s="211">
        <f t="shared" si="16"/>
        <v>9858.2400000000016</v>
      </c>
      <c r="P31" s="211">
        <f t="shared" si="17"/>
        <v>9858.2400000000016</v>
      </c>
      <c r="Q31" s="211">
        <f t="shared" si="17"/>
        <v>9858.2400000000016</v>
      </c>
      <c r="R31" s="211">
        <f t="shared" si="17"/>
        <v>9858.2400000000016</v>
      </c>
      <c r="S31" s="211">
        <f t="shared" si="17"/>
        <v>9858.2400000000016</v>
      </c>
      <c r="T31" s="211">
        <f t="shared" si="17"/>
        <v>9858.2400000000016</v>
      </c>
      <c r="U31" s="211">
        <f t="shared" si="17"/>
        <v>9858.2400000000016</v>
      </c>
      <c r="V31" s="211">
        <f t="shared" si="17"/>
        <v>9858.2400000000016</v>
      </c>
      <c r="W31" s="211">
        <f t="shared" si="17"/>
        <v>9858.2400000000016</v>
      </c>
      <c r="X31" s="211">
        <f t="shared" si="17"/>
        <v>9858.2400000000016</v>
      </c>
      <c r="Y31" s="211">
        <f t="shared" si="17"/>
        <v>9858.2400000000016</v>
      </c>
      <c r="Z31" s="211">
        <f t="shared" si="18"/>
        <v>9858.2400000000016</v>
      </c>
      <c r="AA31" s="211">
        <f t="shared" si="18"/>
        <v>9982.7416216216225</v>
      </c>
      <c r="AB31" s="211">
        <f t="shared" si="18"/>
        <v>10107.243243243245</v>
      </c>
      <c r="AC31" s="211">
        <f t="shared" si="18"/>
        <v>10231.744864864866</v>
      </c>
      <c r="AD31" s="211">
        <f t="shared" si="18"/>
        <v>10356.246486486489</v>
      </c>
      <c r="AE31" s="211">
        <f t="shared" si="18"/>
        <v>10480.74810810811</v>
      </c>
      <c r="AF31" s="211">
        <f t="shared" si="18"/>
        <v>10605.249729729732</v>
      </c>
      <c r="AG31" s="211">
        <f t="shared" si="18"/>
        <v>10729.751351351353</v>
      </c>
      <c r="AH31" s="211">
        <f t="shared" si="18"/>
        <v>10854.252972972974</v>
      </c>
      <c r="AI31" s="211">
        <f t="shared" si="18"/>
        <v>10978.754594594597</v>
      </c>
      <c r="AJ31" s="211">
        <f t="shared" si="19"/>
        <v>11103.256216216218</v>
      </c>
      <c r="AK31" s="211">
        <f t="shared" si="19"/>
        <v>11227.75783783784</v>
      </c>
      <c r="AL31" s="211">
        <f t="shared" si="19"/>
        <v>11352.259459459461</v>
      </c>
      <c r="AM31" s="211">
        <f t="shared" si="19"/>
        <v>11476.761081081084</v>
      </c>
      <c r="AN31" s="211">
        <f t="shared" si="19"/>
        <v>11601.262702702705</v>
      </c>
      <c r="AO31" s="211">
        <f t="shared" si="19"/>
        <v>11725.764324324326</v>
      </c>
      <c r="AP31" s="211">
        <f t="shared" si="19"/>
        <v>11850.265945945948</v>
      </c>
      <c r="AQ31" s="211">
        <f t="shared" si="19"/>
        <v>11974.767567567569</v>
      </c>
      <c r="AR31" s="211">
        <f t="shared" si="19"/>
        <v>12099.269189189192</v>
      </c>
      <c r="AS31" s="211">
        <f t="shared" si="19"/>
        <v>12223.770810810813</v>
      </c>
      <c r="AT31" s="211">
        <f t="shared" si="20"/>
        <v>12348.272432432435</v>
      </c>
      <c r="AU31" s="211">
        <f t="shared" si="20"/>
        <v>12472.774054054056</v>
      </c>
      <c r="AV31" s="211">
        <f t="shared" si="20"/>
        <v>12597.275675675679</v>
      </c>
      <c r="AW31" s="211">
        <f t="shared" si="20"/>
        <v>12721.7772972973</v>
      </c>
      <c r="AX31" s="211">
        <f t="shared" si="20"/>
        <v>12846.278918918921</v>
      </c>
      <c r="AY31" s="211">
        <f t="shared" si="20"/>
        <v>12970.780540540543</v>
      </c>
      <c r="AZ31" s="211">
        <f t="shared" si="20"/>
        <v>13095.282162162164</v>
      </c>
      <c r="BA31" s="211">
        <f t="shared" si="20"/>
        <v>13219.783783783787</v>
      </c>
      <c r="BB31" s="211">
        <f t="shared" si="20"/>
        <v>13344.285405405408</v>
      </c>
      <c r="BC31" s="211">
        <f t="shared" si="20"/>
        <v>13468.78702702703</v>
      </c>
      <c r="BD31" s="211">
        <f t="shared" si="21"/>
        <v>13593.288648648651</v>
      </c>
      <c r="BE31" s="211">
        <f t="shared" si="21"/>
        <v>13717.790270270274</v>
      </c>
      <c r="BF31" s="211">
        <f t="shared" si="21"/>
        <v>13842.291891891895</v>
      </c>
      <c r="BG31" s="211">
        <f t="shared" si="21"/>
        <v>13966.793513513516</v>
      </c>
      <c r="BH31" s="211">
        <f t="shared" si="21"/>
        <v>14091.295135135137</v>
      </c>
      <c r="BI31" s="211">
        <f t="shared" si="21"/>
        <v>14215.796756756759</v>
      </c>
      <c r="BJ31" s="211">
        <f t="shared" si="21"/>
        <v>14340.298378378382</v>
      </c>
      <c r="BK31" s="211">
        <f t="shared" si="21"/>
        <v>14464.800000000003</v>
      </c>
      <c r="BL31" s="211">
        <f t="shared" si="21"/>
        <v>13940.769230769234</v>
      </c>
      <c r="BM31" s="211">
        <f t="shared" si="21"/>
        <v>13416.738461538464</v>
      </c>
      <c r="BN31" s="211">
        <f t="shared" si="22"/>
        <v>12892.707692307695</v>
      </c>
      <c r="BO31" s="211">
        <f t="shared" si="22"/>
        <v>12368.676923076926</v>
      </c>
      <c r="BP31" s="211">
        <f t="shared" si="22"/>
        <v>11844.646153846155</v>
      </c>
      <c r="BQ31" s="211">
        <f t="shared" si="22"/>
        <v>11320.615384615387</v>
      </c>
      <c r="BR31" s="211">
        <f t="shared" si="22"/>
        <v>10796.584615384618</v>
      </c>
      <c r="BS31" s="211">
        <f t="shared" si="22"/>
        <v>10272.553846153849</v>
      </c>
      <c r="BT31" s="211">
        <f t="shared" si="22"/>
        <v>9748.5230769230784</v>
      </c>
      <c r="BU31" s="211">
        <f t="shared" si="22"/>
        <v>9224.4923076923096</v>
      </c>
      <c r="BV31" s="211">
        <f t="shared" si="22"/>
        <v>8700.461538461539</v>
      </c>
      <c r="BW31" s="211">
        <f t="shared" si="22"/>
        <v>8176.4307692307711</v>
      </c>
      <c r="BX31" s="211">
        <f t="shared" si="23"/>
        <v>7652.4000000000024</v>
      </c>
      <c r="BY31" s="211">
        <f t="shared" si="23"/>
        <v>7128.3692307692318</v>
      </c>
      <c r="BZ31" s="211">
        <f t="shared" si="23"/>
        <v>6604.3384615384621</v>
      </c>
      <c r="CA31" s="211">
        <f t="shared" si="23"/>
        <v>6080.3076923076933</v>
      </c>
      <c r="CB31" s="211">
        <f t="shared" si="23"/>
        <v>5556.2769230769245</v>
      </c>
      <c r="CC31" s="211">
        <f t="shared" si="23"/>
        <v>5032.2461538461539</v>
      </c>
      <c r="CD31" s="211">
        <f t="shared" si="23"/>
        <v>4508.2153846153851</v>
      </c>
      <c r="CE31" s="211">
        <f t="shared" si="23"/>
        <v>3984.1846153846163</v>
      </c>
      <c r="CF31" s="211">
        <f t="shared" si="23"/>
        <v>3460.1538461538476</v>
      </c>
      <c r="CG31" s="211">
        <f t="shared" si="23"/>
        <v>2936.123076923077</v>
      </c>
      <c r="CH31" s="211">
        <f t="shared" si="24"/>
        <v>2412.0923076923082</v>
      </c>
      <c r="CI31" s="211">
        <f t="shared" si="24"/>
        <v>1888.0615384615394</v>
      </c>
      <c r="CJ31" s="211">
        <f t="shared" si="24"/>
        <v>1364.0307692307706</v>
      </c>
      <c r="CK31" s="211">
        <f t="shared" si="24"/>
        <v>840.00000000000182</v>
      </c>
      <c r="CL31" s="211">
        <f t="shared" si="24"/>
        <v>775.38461538461536</v>
      </c>
      <c r="CM31" s="211">
        <f t="shared" si="24"/>
        <v>710.76923076923072</v>
      </c>
      <c r="CN31" s="211">
        <f t="shared" si="24"/>
        <v>646.15384615384619</v>
      </c>
      <c r="CO31" s="211">
        <f t="shared" si="24"/>
        <v>581.53846153846155</v>
      </c>
      <c r="CP31" s="211">
        <f t="shared" si="24"/>
        <v>516.92307692307691</v>
      </c>
      <c r="CQ31" s="211">
        <f t="shared" si="24"/>
        <v>452.30769230769232</v>
      </c>
      <c r="CR31" s="211">
        <f t="shared" si="25"/>
        <v>387.69230769230768</v>
      </c>
      <c r="CS31" s="211">
        <f t="shared" si="25"/>
        <v>323.07692307692309</v>
      </c>
      <c r="CT31" s="211">
        <f t="shared" si="25"/>
        <v>258.46153846153845</v>
      </c>
      <c r="CU31" s="211">
        <f t="shared" si="25"/>
        <v>193.84615384615381</v>
      </c>
      <c r="CV31" s="211">
        <f t="shared" si="25"/>
        <v>129.23076923076928</v>
      </c>
      <c r="CW31" s="211">
        <f t="shared" si="25"/>
        <v>64.615384615384642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89376.000000000015</v>
      </c>
      <c r="E32" s="204">
        <f>Income!E79</f>
        <v>354816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0</v>
      </c>
      <c r="BE32" s="211">
        <f t="shared" si="21"/>
        <v>0</v>
      </c>
      <c r="BF32" s="211">
        <f t="shared" si="21"/>
        <v>0</v>
      </c>
      <c r="BG32" s="211">
        <f t="shared" si="21"/>
        <v>0</v>
      </c>
      <c r="BH32" s="211">
        <f t="shared" si="21"/>
        <v>0</v>
      </c>
      <c r="BI32" s="211">
        <f t="shared" si="21"/>
        <v>0</v>
      </c>
      <c r="BJ32" s="211">
        <f t="shared" si="21"/>
        <v>0</v>
      </c>
      <c r="BK32" s="211">
        <f t="shared" si="21"/>
        <v>0</v>
      </c>
      <c r="BL32" s="211">
        <f t="shared" si="21"/>
        <v>3437.5384615384619</v>
      </c>
      <c r="BM32" s="211">
        <f t="shared" si="21"/>
        <v>6875.0769230769238</v>
      </c>
      <c r="BN32" s="211">
        <f t="shared" si="22"/>
        <v>10312.615384615387</v>
      </c>
      <c r="BO32" s="211">
        <f t="shared" si="22"/>
        <v>13750.153846153848</v>
      </c>
      <c r="BP32" s="211">
        <f t="shared" si="22"/>
        <v>17187.692307692309</v>
      </c>
      <c r="BQ32" s="211">
        <f t="shared" si="22"/>
        <v>20625.230769230773</v>
      </c>
      <c r="BR32" s="211">
        <f t="shared" si="22"/>
        <v>24062.769230769234</v>
      </c>
      <c r="BS32" s="211">
        <f t="shared" si="22"/>
        <v>27500.307692307695</v>
      </c>
      <c r="BT32" s="211">
        <f t="shared" si="22"/>
        <v>30937.84615384616</v>
      </c>
      <c r="BU32" s="211">
        <f t="shared" si="22"/>
        <v>34375.384615384617</v>
      </c>
      <c r="BV32" s="211">
        <f t="shared" si="22"/>
        <v>37812.923076923078</v>
      </c>
      <c r="BW32" s="211">
        <f t="shared" si="22"/>
        <v>41250.461538461546</v>
      </c>
      <c r="BX32" s="211">
        <f t="shared" si="23"/>
        <v>44688.000000000007</v>
      </c>
      <c r="BY32" s="211">
        <f t="shared" si="23"/>
        <v>48125.538461538468</v>
      </c>
      <c r="BZ32" s="211">
        <f t="shared" si="23"/>
        <v>51563.076923076929</v>
      </c>
      <c r="CA32" s="211">
        <f t="shared" si="23"/>
        <v>55000.61538461539</v>
      </c>
      <c r="CB32" s="211">
        <f t="shared" si="23"/>
        <v>58438.153846153858</v>
      </c>
      <c r="CC32" s="211">
        <f t="shared" si="23"/>
        <v>61875.692307692319</v>
      </c>
      <c r="CD32" s="211">
        <f t="shared" si="23"/>
        <v>65313.23076923078</v>
      </c>
      <c r="CE32" s="211">
        <f t="shared" si="23"/>
        <v>68750.769230769234</v>
      </c>
      <c r="CF32" s="211">
        <f t="shared" si="23"/>
        <v>72188.307692307702</v>
      </c>
      <c r="CG32" s="211">
        <f t="shared" si="23"/>
        <v>75625.846153846156</v>
      </c>
      <c r="CH32" s="211">
        <f t="shared" si="24"/>
        <v>79063.384615384624</v>
      </c>
      <c r="CI32" s="211">
        <f t="shared" si="24"/>
        <v>82500.923076923093</v>
      </c>
      <c r="CJ32" s="211">
        <f t="shared" si="24"/>
        <v>85938.461538461561</v>
      </c>
      <c r="CK32" s="211">
        <f t="shared" si="24"/>
        <v>89376.000000000015</v>
      </c>
      <c r="CL32" s="211">
        <f t="shared" si="24"/>
        <v>109794.46153846156</v>
      </c>
      <c r="CM32" s="211">
        <f t="shared" si="24"/>
        <v>130212.92307692309</v>
      </c>
      <c r="CN32" s="211">
        <f t="shared" si="24"/>
        <v>150631.38461538462</v>
      </c>
      <c r="CO32" s="211">
        <f t="shared" si="24"/>
        <v>171049.84615384619</v>
      </c>
      <c r="CP32" s="211">
        <f t="shared" si="24"/>
        <v>191468.30769230769</v>
      </c>
      <c r="CQ32" s="211">
        <f t="shared" si="24"/>
        <v>211886.76923076925</v>
      </c>
      <c r="CR32" s="211">
        <f t="shared" si="25"/>
        <v>232305.23076923081</v>
      </c>
      <c r="CS32" s="211">
        <f t="shared" si="25"/>
        <v>252723.69230769231</v>
      </c>
      <c r="CT32" s="211">
        <f t="shared" si="25"/>
        <v>273142.15384615387</v>
      </c>
      <c r="CU32" s="211">
        <f t="shared" si="25"/>
        <v>293560.61538461538</v>
      </c>
      <c r="CV32" s="211">
        <f t="shared" si="25"/>
        <v>313979.07692307694</v>
      </c>
      <c r="CW32" s="211">
        <f t="shared" si="25"/>
        <v>334397.5384615385</v>
      </c>
      <c r="CX32" s="211">
        <f t="shared" si="25"/>
        <v>354816</v>
      </c>
      <c r="CY32" s="211">
        <f t="shared" si="25"/>
        <v>354816</v>
      </c>
      <c r="CZ32" s="211">
        <f t="shared" si="25"/>
        <v>354816</v>
      </c>
      <c r="DA32" s="211">
        <f t="shared" si="25"/>
        <v>354816</v>
      </c>
    </row>
    <row r="33" spans="1:105">
      <c r="A33" s="202" t="str">
        <f>Income!A81</f>
        <v>Self - employment</v>
      </c>
      <c r="B33" s="204">
        <f>Income!B81</f>
        <v>6773.76</v>
      </c>
      <c r="C33" s="204">
        <f>Income!C81</f>
        <v>5644.8</v>
      </c>
      <c r="D33" s="204">
        <f>Income!D81</f>
        <v>34182.400000000001</v>
      </c>
      <c r="E33" s="204">
        <f>Income!E81</f>
        <v>0</v>
      </c>
      <c r="F33" s="211">
        <f t="shared" si="16"/>
        <v>6773.76</v>
      </c>
      <c r="G33" s="211">
        <f t="shared" si="16"/>
        <v>6773.76</v>
      </c>
      <c r="H33" s="211">
        <f t="shared" si="16"/>
        <v>6773.76</v>
      </c>
      <c r="I33" s="211">
        <f t="shared" si="16"/>
        <v>6773.76</v>
      </c>
      <c r="J33" s="211">
        <f t="shared" si="16"/>
        <v>6773.76</v>
      </c>
      <c r="K33" s="211">
        <f t="shared" si="16"/>
        <v>6773.76</v>
      </c>
      <c r="L33" s="211">
        <f t="shared" si="16"/>
        <v>6773.76</v>
      </c>
      <c r="M33" s="211">
        <f t="shared" si="16"/>
        <v>6773.76</v>
      </c>
      <c r="N33" s="211">
        <f t="shared" si="16"/>
        <v>6773.76</v>
      </c>
      <c r="O33" s="211">
        <f t="shared" si="16"/>
        <v>6773.76</v>
      </c>
      <c r="P33" s="211">
        <f t="shared" si="17"/>
        <v>6773.76</v>
      </c>
      <c r="Q33" s="211">
        <f t="shared" si="17"/>
        <v>6773.76</v>
      </c>
      <c r="R33" s="211">
        <f t="shared" si="17"/>
        <v>6773.76</v>
      </c>
      <c r="S33" s="211">
        <f t="shared" si="17"/>
        <v>6773.76</v>
      </c>
      <c r="T33" s="211">
        <f t="shared" si="17"/>
        <v>6773.76</v>
      </c>
      <c r="U33" s="211">
        <f t="shared" si="17"/>
        <v>6773.76</v>
      </c>
      <c r="V33" s="211">
        <f t="shared" si="17"/>
        <v>6773.76</v>
      </c>
      <c r="W33" s="211">
        <f t="shared" si="17"/>
        <v>6773.76</v>
      </c>
      <c r="X33" s="211">
        <f t="shared" si="17"/>
        <v>6773.76</v>
      </c>
      <c r="Y33" s="211">
        <f t="shared" si="17"/>
        <v>6773.76</v>
      </c>
      <c r="Z33" s="211">
        <f t="shared" si="18"/>
        <v>6773.76</v>
      </c>
      <c r="AA33" s="211">
        <f t="shared" si="18"/>
        <v>6743.2475675675678</v>
      </c>
      <c r="AB33" s="211">
        <f t="shared" si="18"/>
        <v>6712.7351351351354</v>
      </c>
      <c r="AC33" s="211">
        <f t="shared" si="18"/>
        <v>6682.2227027027029</v>
      </c>
      <c r="AD33" s="211">
        <f t="shared" si="18"/>
        <v>6651.7102702702705</v>
      </c>
      <c r="AE33" s="211">
        <f t="shared" si="18"/>
        <v>6621.1978378378381</v>
      </c>
      <c r="AF33" s="211">
        <f t="shared" si="18"/>
        <v>6590.6854054054056</v>
      </c>
      <c r="AG33" s="211">
        <f t="shared" si="18"/>
        <v>6560.1729729729732</v>
      </c>
      <c r="AH33" s="211">
        <f t="shared" si="18"/>
        <v>6529.6605405405408</v>
      </c>
      <c r="AI33" s="211">
        <f t="shared" si="18"/>
        <v>6499.1481081081083</v>
      </c>
      <c r="AJ33" s="211">
        <f t="shared" si="19"/>
        <v>6468.6356756756759</v>
      </c>
      <c r="AK33" s="211">
        <f t="shared" si="19"/>
        <v>6438.1232432432435</v>
      </c>
      <c r="AL33" s="211">
        <f t="shared" si="19"/>
        <v>6407.610810810811</v>
      </c>
      <c r="AM33" s="211">
        <f t="shared" si="19"/>
        <v>6377.0983783783786</v>
      </c>
      <c r="AN33" s="211">
        <f t="shared" si="19"/>
        <v>6346.5859459459462</v>
      </c>
      <c r="AO33" s="211">
        <f t="shared" si="19"/>
        <v>6316.0735135135137</v>
      </c>
      <c r="AP33" s="211">
        <f t="shared" si="19"/>
        <v>6285.5610810810813</v>
      </c>
      <c r="AQ33" s="211">
        <f t="shared" si="19"/>
        <v>6255.0486486486489</v>
      </c>
      <c r="AR33" s="211">
        <f t="shared" si="19"/>
        <v>6224.5362162162164</v>
      </c>
      <c r="AS33" s="211">
        <f t="shared" si="19"/>
        <v>6194.023783783784</v>
      </c>
      <c r="AT33" s="211">
        <f t="shared" si="20"/>
        <v>6163.5113513513515</v>
      </c>
      <c r="AU33" s="211">
        <f t="shared" si="20"/>
        <v>6132.9989189189191</v>
      </c>
      <c r="AV33" s="211">
        <f t="shared" si="20"/>
        <v>6102.4864864864867</v>
      </c>
      <c r="AW33" s="211">
        <f t="shared" si="20"/>
        <v>6071.9740540540542</v>
      </c>
      <c r="AX33" s="211">
        <f t="shared" si="20"/>
        <v>6041.4616216216218</v>
      </c>
      <c r="AY33" s="211">
        <f t="shared" si="20"/>
        <v>6010.9491891891894</v>
      </c>
      <c r="AZ33" s="211">
        <f t="shared" si="20"/>
        <v>5980.4367567567569</v>
      </c>
      <c r="BA33" s="211">
        <f t="shared" si="20"/>
        <v>5949.9243243243245</v>
      </c>
      <c r="BB33" s="211">
        <f t="shared" si="20"/>
        <v>5919.4118918918921</v>
      </c>
      <c r="BC33" s="211">
        <f t="shared" si="20"/>
        <v>5888.8994594594596</v>
      </c>
      <c r="BD33" s="211">
        <f t="shared" si="21"/>
        <v>5858.3870270270272</v>
      </c>
      <c r="BE33" s="211">
        <f t="shared" si="21"/>
        <v>5827.8745945945948</v>
      </c>
      <c r="BF33" s="211">
        <f t="shared" si="21"/>
        <v>5797.3621621621623</v>
      </c>
      <c r="BG33" s="211">
        <f t="shared" si="21"/>
        <v>5766.8497297297299</v>
      </c>
      <c r="BH33" s="211">
        <f t="shared" si="21"/>
        <v>5736.3372972972975</v>
      </c>
      <c r="BI33" s="211">
        <f t="shared" si="21"/>
        <v>5705.824864864865</v>
      </c>
      <c r="BJ33" s="211">
        <f t="shared" si="21"/>
        <v>5675.3124324324326</v>
      </c>
      <c r="BK33" s="211">
        <f t="shared" si="21"/>
        <v>5644.8</v>
      </c>
      <c r="BL33" s="211">
        <f t="shared" si="21"/>
        <v>6742.4000000000005</v>
      </c>
      <c r="BM33" s="211">
        <f t="shared" si="21"/>
        <v>7840</v>
      </c>
      <c r="BN33" s="211">
        <f t="shared" si="22"/>
        <v>8937.6</v>
      </c>
      <c r="BO33" s="211">
        <f t="shared" si="22"/>
        <v>10035.200000000001</v>
      </c>
      <c r="BP33" s="211">
        <f t="shared" si="22"/>
        <v>11132.8</v>
      </c>
      <c r="BQ33" s="211">
        <f t="shared" si="22"/>
        <v>12230.400000000001</v>
      </c>
      <c r="BR33" s="211">
        <f t="shared" si="22"/>
        <v>13328</v>
      </c>
      <c r="BS33" s="211">
        <f t="shared" si="22"/>
        <v>14425.600000000002</v>
      </c>
      <c r="BT33" s="211">
        <f t="shared" si="22"/>
        <v>15523.2</v>
      </c>
      <c r="BU33" s="211">
        <f t="shared" si="22"/>
        <v>16620.8</v>
      </c>
      <c r="BV33" s="211">
        <f t="shared" si="22"/>
        <v>17718.400000000001</v>
      </c>
      <c r="BW33" s="211">
        <f t="shared" si="22"/>
        <v>18816</v>
      </c>
      <c r="BX33" s="211">
        <f t="shared" si="23"/>
        <v>19913.600000000002</v>
      </c>
      <c r="BY33" s="211">
        <f t="shared" si="23"/>
        <v>21011.200000000001</v>
      </c>
      <c r="BZ33" s="211">
        <f t="shared" si="23"/>
        <v>22108.800000000003</v>
      </c>
      <c r="CA33" s="211">
        <f t="shared" si="23"/>
        <v>23206.400000000001</v>
      </c>
      <c r="CB33" s="211">
        <f t="shared" si="23"/>
        <v>24304</v>
      </c>
      <c r="CC33" s="211">
        <f t="shared" si="23"/>
        <v>25401.600000000002</v>
      </c>
      <c r="CD33" s="211">
        <f t="shared" si="23"/>
        <v>26499.200000000001</v>
      </c>
      <c r="CE33" s="211">
        <f t="shared" si="23"/>
        <v>27596.799999999999</v>
      </c>
      <c r="CF33" s="211">
        <f t="shared" si="23"/>
        <v>28694.400000000001</v>
      </c>
      <c r="CG33" s="211">
        <f t="shared" si="23"/>
        <v>29792.000000000004</v>
      </c>
      <c r="CH33" s="211">
        <f t="shared" si="24"/>
        <v>30889.600000000002</v>
      </c>
      <c r="CI33" s="211">
        <f t="shared" si="24"/>
        <v>31987.200000000001</v>
      </c>
      <c r="CJ33" s="211">
        <f t="shared" si="24"/>
        <v>33084.800000000003</v>
      </c>
      <c r="CK33" s="211">
        <f t="shared" si="24"/>
        <v>34182.400000000001</v>
      </c>
      <c r="CL33" s="211">
        <f t="shared" si="24"/>
        <v>31552.984615384616</v>
      </c>
      <c r="CM33" s="211">
        <f t="shared" si="24"/>
        <v>28923.56923076923</v>
      </c>
      <c r="CN33" s="211">
        <f t="shared" si="24"/>
        <v>26294.153846153848</v>
      </c>
      <c r="CO33" s="211">
        <f t="shared" si="24"/>
        <v>23664.738461538462</v>
      </c>
      <c r="CP33" s="211">
        <f t="shared" si="24"/>
        <v>21035.323076923079</v>
      </c>
      <c r="CQ33" s="211">
        <f t="shared" si="24"/>
        <v>18405.907692307694</v>
      </c>
      <c r="CR33" s="211">
        <f t="shared" si="25"/>
        <v>15776.492307692308</v>
      </c>
      <c r="CS33" s="211">
        <f t="shared" si="25"/>
        <v>13147.076923076922</v>
      </c>
      <c r="CT33" s="211">
        <f t="shared" si="25"/>
        <v>10517.661538461536</v>
      </c>
      <c r="CU33" s="211">
        <f t="shared" si="25"/>
        <v>7888.2461538461539</v>
      </c>
      <c r="CV33" s="211">
        <f t="shared" si="25"/>
        <v>5258.8307692307681</v>
      </c>
      <c r="CW33" s="211">
        <f t="shared" si="25"/>
        <v>2629.4153846153822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4032.0000000000005</v>
      </c>
      <c r="D34" s="204">
        <f>Income!D82</f>
        <v>6854.4000000000005</v>
      </c>
      <c r="E34" s="204">
        <f>Income!E82</f>
        <v>62899.200000000012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108.97297297297298</v>
      </c>
      <c r="AB34" s="211">
        <f t="shared" si="18"/>
        <v>217.94594594594597</v>
      </c>
      <c r="AC34" s="211">
        <f t="shared" si="18"/>
        <v>326.91891891891896</v>
      </c>
      <c r="AD34" s="211">
        <f t="shared" si="18"/>
        <v>435.89189189189193</v>
      </c>
      <c r="AE34" s="211">
        <f t="shared" si="18"/>
        <v>544.86486486486501</v>
      </c>
      <c r="AF34" s="211">
        <f t="shared" si="18"/>
        <v>653.83783783783792</v>
      </c>
      <c r="AG34" s="211">
        <f t="shared" si="18"/>
        <v>762.81081081081095</v>
      </c>
      <c r="AH34" s="211">
        <f t="shared" si="18"/>
        <v>871.78378378378386</v>
      </c>
      <c r="AI34" s="211">
        <f t="shared" si="18"/>
        <v>980.756756756757</v>
      </c>
      <c r="AJ34" s="211">
        <f t="shared" si="19"/>
        <v>1089.72972972973</v>
      </c>
      <c r="AK34" s="211">
        <f t="shared" si="19"/>
        <v>1198.7027027027029</v>
      </c>
      <c r="AL34" s="211">
        <f t="shared" si="19"/>
        <v>1307.6756756756758</v>
      </c>
      <c r="AM34" s="211">
        <f t="shared" si="19"/>
        <v>1416.6486486486488</v>
      </c>
      <c r="AN34" s="211">
        <f t="shared" si="19"/>
        <v>1525.6216216216219</v>
      </c>
      <c r="AO34" s="211">
        <f t="shared" si="19"/>
        <v>1634.5945945945948</v>
      </c>
      <c r="AP34" s="211">
        <f t="shared" si="19"/>
        <v>1743.5675675675677</v>
      </c>
      <c r="AQ34" s="211">
        <f t="shared" si="19"/>
        <v>1852.5405405405409</v>
      </c>
      <c r="AR34" s="211">
        <f t="shared" si="19"/>
        <v>1961.513513513514</v>
      </c>
      <c r="AS34" s="211">
        <f t="shared" si="19"/>
        <v>2070.4864864864867</v>
      </c>
      <c r="AT34" s="211">
        <f t="shared" si="20"/>
        <v>2179.45945945946</v>
      </c>
      <c r="AU34" s="211">
        <f t="shared" si="20"/>
        <v>2288.432432432433</v>
      </c>
      <c r="AV34" s="211">
        <f t="shared" si="20"/>
        <v>2397.4054054054059</v>
      </c>
      <c r="AW34" s="211">
        <f t="shared" si="20"/>
        <v>2506.3783783783788</v>
      </c>
      <c r="AX34" s="211">
        <f t="shared" si="20"/>
        <v>2615.3513513513517</v>
      </c>
      <c r="AY34" s="211">
        <f t="shared" si="20"/>
        <v>2724.3243243243246</v>
      </c>
      <c r="AZ34" s="211">
        <f t="shared" si="20"/>
        <v>2833.2972972972975</v>
      </c>
      <c r="BA34" s="211">
        <f t="shared" si="20"/>
        <v>2942.2702702702709</v>
      </c>
      <c r="BB34" s="211">
        <f t="shared" si="20"/>
        <v>3051.2432432432438</v>
      </c>
      <c r="BC34" s="211">
        <f t="shared" si="20"/>
        <v>3160.2162162162167</v>
      </c>
      <c r="BD34" s="211">
        <f t="shared" si="21"/>
        <v>3269.1891891891896</v>
      </c>
      <c r="BE34" s="211">
        <f t="shared" si="21"/>
        <v>3378.1621621621625</v>
      </c>
      <c r="BF34" s="211">
        <f t="shared" si="21"/>
        <v>3487.1351351351354</v>
      </c>
      <c r="BG34" s="211">
        <f t="shared" si="21"/>
        <v>3596.1081081081088</v>
      </c>
      <c r="BH34" s="211">
        <f t="shared" si="21"/>
        <v>3705.0810810810817</v>
      </c>
      <c r="BI34" s="211">
        <f t="shared" si="21"/>
        <v>3814.0540540540546</v>
      </c>
      <c r="BJ34" s="211">
        <f t="shared" si="21"/>
        <v>3923.027027027028</v>
      </c>
      <c r="BK34" s="211">
        <f t="shared" si="21"/>
        <v>4032.0000000000009</v>
      </c>
      <c r="BL34" s="211">
        <f t="shared" si="21"/>
        <v>4140.5538461538463</v>
      </c>
      <c r="BM34" s="211">
        <f t="shared" si="21"/>
        <v>4249.1076923076926</v>
      </c>
      <c r="BN34" s="211">
        <f t="shared" si="22"/>
        <v>4357.6615384615388</v>
      </c>
      <c r="BO34" s="211">
        <f t="shared" si="22"/>
        <v>4466.2153846153851</v>
      </c>
      <c r="BP34" s="211">
        <f t="shared" si="22"/>
        <v>4574.7692307692314</v>
      </c>
      <c r="BQ34" s="211">
        <f t="shared" si="22"/>
        <v>4683.3230769230777</v>
      </c>
      <c r="BR34" s="211">
        <f t="shared" si="22"/>
        <v>4791.876923076923</v>
      </c>
      <c r="BS34" s="211">
        <f t="shared" si="22"/>
        <v>4900.4307692307693</v>
      </c>
      <c r="BT34" s="211">
        <f t="shared" si="22"/>
        <v>5008.9846153846156</v>
      </c>
      <c r="BU34" s="211">
        <f t="shared" si="22"/>
        <v>5117.5384615384619</v>
      </c>
      <c r="BV34" s="211">
        <f t="shared" si="22"/>
        <v>5226.0923076923082</v>
      </c>
      <c r="BW34" s="211">
        <f t="shared" si="22"/>
        <v>5334.6461538461544</v>
      </c>
      <c r="BX34" s="211">
        <f t="shared" si="23"/>
        <v>5443.2000000000007</v>
      </c>
      <c r="BY34" s="211">
        <f t="shared" si="23"/>
        <v>5551.7538461538461</v>
      </c>
      <c r="BZ34" s="211">
        <f t="shared" si="23"/>
        <v>5660.3076923076933</v>
      </c>
      <c r="CA34" s="211">
        <f t="shared" si="23"/>
        <v>5768.8615384615387</v>
      </c>
      <c r="CB34" s="211">
        <f t="shared" si="23"/>
        <v>5877.4153846153849</v>
      </c>
      <c r="CC34" s="211">
        <f t="shared" si="23"/>
        <v>5985.9692307692312</v>
      </c>
      <c r="CD34" s="211">
        <f t="shared" si="23"/>
        <v>6094.5230769230775</v>
      </c>
      <c r="CE34" s="211">
        <f t="shared" si="23"/>
        <v>6203.0769230769238</v>
      </c>
      <c r="CF34" s="211">
        <f t="shared" si="23"/>
        <v>6311.6307692307691</v>
      </c>
      <c r="CG34" s="211">
        <f t="shared" si="23"/>
        <v>6420.1846153846163</v>
      </c>
      <c r="CH34" s="211">
        <f t="shared" si="24"/>
        <v>6528.7384615384617</v>
      </c>
      <c r="CI34" s="211">
        <f t="shared" si="24"/>
        <v>6637.2923076923089</v>
      </c>
      <c r="CJ34" s="211">
        <f t="shared" si="24"/>
        <v>6745.8461538461543</v>
      </c>
      <c r="CK34" s="211">
        <f t="shared" si="24"/>
        <v>6854.4000000000015</v>
      </c>
      <c r="CL34" s="211">
        <f t="shared" si="24"/>
        <v>11165.538461538463</v>
      </c>
      <c r="CM34" s="211">
        <f t="shared" si="24"/>
        <v>15476.676923076924</v>
      </c>
      <c r="CN34" s="211">
        <f t="shared" si="24"/>
        <v>19787.815384615387</v>
      </c>
      <c r="CO34" s="211">
        <f t="shared" si="24"/>
        <v>24098.95384615385</v>
      </c>
      <c r="CP34" s="211">
        <f t="shared" si="24"/>
        <v>28410.092307692314</v>
      </c>
      <c r="CQ34" s="211">
        <f t="shared" si="24"/>
        <v>32721.230769230773</v>
      </c>
      <c r="CR34" s="211">
        <f t="shared" si="25"/>
        <v>37032.36923076924</v>
      </c>
      <c r="CS34" s="211">
        <f t="shared" si="25"/>
        <v>41343.507692307699</v>
      </c>
      <c r="CT34" s="211">
        <f t="shared" si="25"/>
        <v>45654.646153846159</v>
      </c>
      <c r="CU34" s="211">
        <f t="shared" si="25"/>
        <v>49965.784615384626</v>
      </c>
      <c r="CV34" s="211">
        <f t="shared" si="25"/>
        <v>54276.923076923093</v>
      </c>
      <c r="CW34" s="211">
        <f t="shared" si="25"/>
        <v>58588.061538461545</v>
      </c>
      <c r="CX34" s="211">
        <f t="shared" si="25"/>
        <v>62899.200000000012</v>
      </c>
      <c r="CY34" s="211">
        <f t="shared" si="25"/>
        <v>62899.200000000012</v>
      </c>
      <c r="CZ34" s="211">
        <f t="shared" si="25"/>
        <v>62899.200000000012</v>
      </c>
      <c r="DA34" s="211">
        <f t="shared" si="25"/>
        <v>62899.200000000012</v>
      </c>
    </row>
    <row r="35" spans="1:105">
      <c r="A35" s="202" t="str">
        <f>Income!A83</f>
        <v>Food transfer - official</v>
      </c>
      <c r="B35" s="204">
        <f>Income!B83</f>
        <v>0</v>
      </c>
      <c r="C35" s="204">
        <f>Income!C83</f>
        <v>19.756243093922656</v>
      </c>
      <c r="D35" s="204">
        <f>Income!D83</f>
        <v>19.756243093922656</v>
      </c>
      <c r="E35" s="204">
        <f>Income!E83</f>
        <v>23.707491712707188</v>
      </c>
      <c r="F35" s="211">
        <f t="shared" si="16"/>
        <v>0</v>
      </c>
      <c r="G35" s="211">
        <f t="shared" si="16"/>
        <v>0</v>
      </c>
      <c r="H35" s="211">
        <f t="shared" si="16"/>
        <v>0</v>
      </c>
      <c r="I35" s="211">
        <f t="shared" si="16"/>
        <v>0</v>
      </c>
      <c r="J35" s="211">
        <f t="shared" si="16"/>
        <v>0</v>
      </c>
      <c r="K35" s="211">
        <f t="shared" si="16"/>
        <v>0</v>
      </c>
      <c r="L35" s="211">
        <f t="shared" si="16"/>
        <v>0</v>
      </c>
      <c r="M35" s="211">
        <f t="shared" si="16"/>
        <v>0</v>
      </c>
      <c r="N35" s="211">
        <f t="shared" si="16"/>
        <v>0</v>
      </c>
      <c r="O35" s="211">
        <f t="shared" si="16"/>
        <v>0</v>
      </c>
      <c r="P35" s="211">
        <f t="shared" si="17"/>
        <v>0</v>
      </c>
      <c r="Q35" s="211">
        <f t="shared" si="17"/>
        <v>0</v>
      </c>
      <c r="R35" s="211">
        <f t="shared" si="17"/>
        <v>0</v>
      </c>
      <c r="S35" s="211">
        <f t="shared" si="17"/>
        <v>0</v>
      </c>
      <c r="T35" s="211">
        <f t="shared" si="17"/>
        <v>0</v>
      </c>
      <c r="U35" s="211">
        <f t="shared" si="17"/>
        <v>0</v>
      </c>
      <c r="V35" s="211">
        <f t="shared" si="17"/>
        <v>0</v>
      </c>
      <c r="W35" s="211">
        <f t="shared" si="17"/>
        <v>0</v>
      </c>
      <c r="X35" s="211">
        <f t="shared" si="17"/>
        <v>0</v>
      </c>
      <c r="Y35" s="211">
        <f t="shared" si="17"/>
        <v>0</v>
      </c>
      <c r="Z35" s="211">
        <f t="shared" si="18"/>
        <v>0</v>
      </c>
      <c r="AA35" s="211">
        <f t="shared" si="18"/>
        <v>0.5339525160519637</v>
      </c>
      <c r="AB35" s="211">
        <f t="shared" si="18"/>
        <v>1.0679050321039274</v>
      </c>
      <c r="AC35" s="211">
        <f t="shared" si="18"/>
        <v>1.601857548155891</v>
      </c>
      <c r="AD35" s="211">
        <f t="shared" si="18"/>
        <v>2.1358100642078548</v>
      </c>
      <c r="AE35" s="211">
        <f t="shared" si="18"/>
        <v>2.6697625802598184</v>
      </c>
      <c r="AF35" s="211">
        <f t="shared" si="18"/>
        <v>3.203715096311782</v>
      </c>
      <c r="AG35" s="211">
        <f t="shared" si="18"/>
        <v>3.737667612363746</v>
      </c>
      <c r="AH35" s="211">
        <f t="shared" si="18"/>
        <v>4.2716201284157096</v>
      </c>
      <c r="AI35" s="211">
        <f t="shared" si="18"/>
        <v>4.8055726444676727</v>
      </c>
      <c r="AJ35" s="211">
        <f t="shared" si="19"/>
        <v>5.3395251605196368</v>
      </c>
      <c r="AK35" s="211">
        <f t="shared" si="19"/>
        <v>5.8734776765716008</v>
      </c>
      <c r="AL35" s="211">
        <f t="shared" si="19"/>
        <v>6.4074301926235639</v>
      </c>
      <c r="AM35" s="211">
        <f t="shared" si="19"/>
        <v>6.941382708675528</v>
      </c>
      <c r="AN35" s="211">
        <f t="shared" si="19"/>
        <v>7.475335224727492</v>
      </c>
      <c r="AO35" s="211">
        <f t="shared" si="19"/>
        <v>8.009287740779456</v>
      </c>
      <c r="AP35" s="211">
        <f t="shared" si="19"/>
        <v>8.5432402568314192</v>
      </c>
      <c r="AQ35" s="211">
        <f t="shared" si="19"/>
        <v>9.0771927728833823</v>
      </c>
      <c r="AR35" s="211">
        <f t="shared" si="19"/>
        <v>9.6111452889353455</v>
      </c>
      <c r="AS35" s="211">
        <f t="shared" si="19"/>
        <v>10.145097804987309</v>
      </c>
      <c r="AT35" s="211">
        <f t="shared" si="20"/>
        <v>10.679050321039274</v>
      </c>
      <c r="AU35" s="211">
        <f t="shared" si="20"/>
        <v>11.213002837091238</v>
      </c>
      <c r="AV35" s="211">
        <f t="shared" si="20"/>
        <v>11.746955353143202</v>
      </c>
      <c r="AW35" s="211">
        <f t="shared" si="20"/>
        <v>12.280907869195165</v>
      </c>
      <c r="AX35" s="211">
        <f t="shared" si="20"/>
        <v>12.814860385247128</v>
      </c>
      <c r="AY35" s="211">
        <f t="shared" si="20"/>
        <v>13.348812901299091</v>
      </c>
      <c r="AZ35" s="211">
        <f t="shared" si="20"/>
        <v>13.882765417351056</v>
      </c>
      <c r="BA35" s="211">
        <f t="shared" si="20"/>
        <v>14.416717933403021</v>
      </c>
      <c r="BB35" s="211">
        <f t="shared" si="20"/>
        <v>14.950670449454984</v>
      </c>
      <c r="BC35" s="211">
        <f t="shared" si="20"/>
        <v>15.484622965506947</v>
      </c>
      <c r="BD35" s="211">
        <f t="shared" si="21"/>
        <v>16.018575481558912</v>
      </c>
      <c r="BE35" s="211">
        <f t="shared" si="21"/>
        <v>16.552527997610873</v>
      </c>
      <c r="BF35" s="211">
        <f t="shared" si="21"/>
        <v>17.086480513662838</v>
      </c>
      <c r="BG35" s="211">
        <f t="shared" si="21"/>
        <v>17.6204330297148</v>
      </c>
      <c r="BH35" s="211">
        <f t="shared" si="21"/>
        <v>18.154385545766765</v>
      </c>
      <c r="BI35" s="211">
        <f t="shared" si="21"/>
        <v>18.68833806181873</v>
      </c>
      <c r="BJ35" s="211">
        <f t="shared" si="21"/>
        <v>19.222290577870691</v>
      </c>
      <c r="BK35" s="211">
        <f t="shared" si="21"/>
        <v>19.756243093922656</v>
      </c>
      <c r="BL35" s="211">
        <f t="shared" si="21"/>
        <v>19.756243093922656</v>
      </c>
      <c r="BM35" s="211">
        <f t="shared" si="21"/>
        <v>19.756243093922656</v>
      </c>
      <c r="BN35" s="211">
        <f t="shared" si="22"/>
        <v>19.756243093922656</v>
      </c>
      <c r="BO35" s="211">
        <f t="shared" si="22"/>
        <v>19.756243093922656</v>
      </c>
      <c r="BP35" s="211">
        <f t="shared" si="22"/>
        <v>19.756243093922656</v>
      </c>
      <c r="BQ35" s="211">
        <f t="shared" si="22"/>
        <v>19.756243093922656</v>
      </c>
      <c r="BR35" s="211">
        <f t="shared" si="22"/>
        <v>19.756243093922656</v>
      </c>
      <c r="BS35" s="211">
        <f t="shared" si="22"/>
        <v>19.756243093922656</v>
      </c>
      <c r="BT35" s="211">
        <f t="shared" si="22"/>
        <v>19.756243093922656</v>
      </c>
      <c r="BU35" s="211">
        <f t="shared" si="22"/>
        <v>19.756243093922656</v>
      </c>
      <c r="BV35" s="211">
        <f t="shared" si="22"/>
        <v>19.756243093922656</v>
      </c>
      <c r="BW35" s="211">
        <f t="shared" si="22"/>
        <v>19.756243093922656</v>
      </c>
      <c r="BX35" s="211">
        <f t="shared" si="23"/>
        <v>19.756243093922656</v>
      </c>
      <c r="BY35" s="211">
        <f t="shared" si="23"/>
        <v>19.756243093922656</v>
      </c>
      <c r="BZ35" s="211">
        <f t="shared" si="23"/>
        <v>19.756243093922656</v>
      </c>
      <c r="CA35" s="211">
        <f t="shared" si="23"/>
        <v>19.756243093922656</v>
      </c>
      <c r="CB35" s="211">
        <f t="shared" si="23"/>
        <v>19.756243093922656</v>
      </c>
      <c r="CC35" s="211">
        <f t="shared" si="23"/>
        <v>19.756243093922656</v>
      </c>
      <c r="CD35" s="211">
        <f t="shared" si="23"/>
        <v>19.756243093922656</v>
      </c>
      <c r="CE35" s="211">
        <f t="shared" si="23"/>
        <v>19.756243093922656</v>
      </c>
      <c r="CF35" s="211">
        <f t="shared" si="23"/>
        <v>19.756243093922656</v>
      </c>
      <c r="CG35" s="211">
        <f t="shared" si="23"/>
        <v>19.756243093922656</v>
      </c>
      <c r="CH35" s="211">
        <f t="shared" si="24"/>
        <v>19.756243093922656</v>
      </c>
      <c r="CI35" s="211">
        <f t="shared" si="24"/>
        <v>19.756243093922656</v>
      </c>
      <c r="CJ35" s="211">
        <f t="shared" si="24"/>
        <v>19.756243093922656</v>
      </c>
      <c r="CK35" s="211">
        <f t="shared" si="24"/>
        <v>19.756243093922656</v>
      </c>
      <c r="CL35" s="211">
        <f t="shared" si="24"/>
        <v>20.060185295367621</v>
      </c>
      <c r="CM35" s="211">
        <f t="shared" si="24"/>
        <v>20.364127496812586</v>
      </c>
      <c r="CN35" s="211">
        <f t="shared" si="24"/>
        <v>20.668069698257547</v>
      </c>
      <c r="CO35" s="211">
        <f t="shared" si="24"/>
        <v>20.972011899702512</v>
      </c>
      <c r="CP35" s="211">
        <f t="shared" si="24"/>
        <v>21.275954101147477</v>
      </c>
      <c r="CQ35" s="211">
        <f t="shared" si="24"/>
        <v>21.579896302592442</v>
      </c>
      <c r="CR35" s="211">
        <f t="shared" si="25"/>
        <v>21.883838504037403</v>
      </c>
      <c r="CS35" s="211">
        <f t="shared" si="25"/>
        <v>22.187780705482368</v>
      </c>
      <c r="CT35" s="211">
        <f t="shared" si="25"/>
        <v>22.491722906927333</v>
      </c>
      <c r="CU35" s="211">
        <f t="shared" si="25"/>
        <v>22.795665108372297</v>
      </c>
      <c r="CV35" s="211">
        <f t="shared" si="25"/>
        <v>23.099607309817259</v>
      </c>
      <c r="CW35" s="211">
        <f t="shared" si="25"/>
        <v>23.403549511262224</v>
      </c>
      <c r="CX35" s="211">
        <f t="shared" si="25"/>
        <v>23.707491712707188</v>
      </c>
      <c r="CY35" s="211">
        <f t="shared" si="25"/>
        <v>23.707491712707188</v>
      </c>
      <c r="CZ35" s="211">
        <f t="shared" si="25"/>
        <v>23.707491712707188</v>
      </c>
      <c r="DA35" s="211">
        <f t="shared" si="25"/>
        <v>23.707491712707188</v>
      </c>
    </row>
    <row r="36" spans="1:105">
      <c r="A36" s="202" t="str">
        <f>Income!A85</f>
        <v>Cash transfer - official</v>
      </c>
      <c r="B36" s="204">
        <f>Income!B85</f>
        <v>22976.775588491721</v>
      </c>
      <c r="C36" s="204">
        <f>Income!C85</f>
        <v>20817.060156931126</v>
      </c>
      <c r="D36" s="204">
        <f>Income!D85</f>
        <v>9310.4516129032272</v>
      </c>
      <c r="E36" s="204">
        <f>Income!E85</f>
        <v>11172.541935483872</v>
      </c>
      <c r="F36" s="211">
        <f t="shared" si="16"/>
        <v>22976.775588491721</v>
      </c>
      <c r="G36" s="211">
        <f t="shared" si="16"/>
        <v>22976.775588491721</v>
      </c>
      <c r="H36" s="211">
        <f t="shared" si="16"/>
        <v>22976.775588491721</v>
      </c>
      <c r="I36" s="211">
        <f t="shared" si="16"/>
        <v>22976.775588491721</v>
      </c>
      <c r="J36" s="211">
        <f t="shared" si="16"/>
        <v>22976.775588491721</v>
      </c>
      <c r="K36" s="211">
        <f t="shared" si="16"/>
        <v>22976.775588491721</v>
      </c>
      <c r="L36" s="211">
        <f t="shared" si="16"/>
        <v>22976.775588491721</v>
      </c>
      <c r="M36" s="211">
        <f t="shared" si="16"/>
        <v>22976.775588491721</v>
      </c>
      <c r="N36" s="211">
        <f t="shared" si="16"/>
        <v>22976.775588491721</v>
      </c>
      <c r="O36" s="211">
        <f t="shared" si="16"/>
        <v>22976.775588491721</v>
      </c>
      <c r="P36" s="211">
        <f t="shared" si="16"/>
        <v>22976.775588491721</v>
      </c>
      <c r="Q36" s="211">
        <f t="shared" si="16"/>
        <v>22976.775588491721</v>
      </c>
      <c r="R36" s="211">
        <f t="shared" si="16"/>
        <v>22976.775588491721</v>
      </c>
      <c r="S36" s="211">
        <f t="shared" si="16"/>
        <v>22976.775588491721</v>
      </c>
      <c r="T36" s="211">
        <f t="shared" si="16"/>
        <v>22976.775588491721</v>
      </c>
      <c r="U36" s="211">
        <f t="shared" si="16"/>
        <v>22976.775588491721</v>
      </c>
      <c r="V36" s="211">
        <f t="shared" si="17"/>
        <v>22976.775588491721</v>
      </c>
      <c r="W36" s="211">
        <f t="shared" si="17"/>
        <v>22976.775588491721</v>
      </c>
      <c r="X36" s="211">
        <f t="shared" si="17"/>
        <v>22976.775588491721</v>
      </c>
      <c r="Y36" s="211">
        <f t="shared" si="17"/>
        <v>22976.775588491721</v>
      </c>
      <c r="Z36" s="211">
        <f t="shared" si="17"/>
        <v>22976.775588491721</v>
      </c>
      <c r="AA36" s="211">
        <f t="shared" si="17"/>
        <v>22918.404901152244</v>
      </c>
      <c r="AB36" s="211">
        <f t="shared" si="17"/>
        <v>22860.034213812771</v>
      </c>
      <c r="AC36" s="211">
        <f t="shared" si="17"/>
        <v>22801.663526473294</v>
      </c>
      <c r="AD36" s="211">
        <f t="shared" si="17"/>
        <v>22743.292839133817</v>
      </c>
      <c r="AE36" s="211">
        <f t="shared" si="17"/>
        <v>22684.922151794344</v>
      </c>
      <c r="AF36" s="211">
        <f t="shared" si="18"/>
        <v>22626.551464454868</v>
      </c>
      <c r="AG36" s="211">
        <f t="shared" si="18"/>
        <v>22568.180777115391</v>
      </c>
      <c r="AH36" s="211">
        <f t="shared" si="18"/>
        <v>22509.810089775918</v>
      </c>
      <c r="AI36" s="211">
        <f t="shared" si="18"/>
        <v>22451.439402436441</v>
      </c>
      <c r="AJ36" s="211">
        <f t="shared" si="18"/>
        <v>22393.068715096964</v>
      </c>
      <c r="AK36" s="211">
        <f t="shared" si="18"/>
        <v>22334.698027757491</v>
      </c>
      <c r="AL36" s="211">
        <f t="shared" si="18"/>
        <v>22276.327340418015</v>
      </c>
      <c r="AM36" s="211">
        <f t="shared" si="18"/>
        <v>22217.956653078538</v>
      </c>
      <c r="AN36" s="211">
        <f t="shared" si="18"/>
        <v>22159.585965739065</v>
      </c>
      <c r="AO36" s="211">
        <f t="shared" si="18"/>
        <v>22101.215278399588</v>
      </c>
      <c r="AP36" s="211">
        <f t="shared" si="19"/>
        <v>22042.844591060111</v>
      </c>
      <c r="AQ36" s="211">
        <f t="shared" si="19"/>
        <v>21984.473903720638</v>
      </c>
      <c r="AR36" s="211">
        <f t="shared" si="19"/>
        <v>21926.103216381161</v>
      </c>
      <c r="AS36" s="211">
        <f t="shared" si="19"/>
        <v>21867.732529041685</v>
      </c>
      <c r="AT36" s="211">
        <f t="shared" si="19"/>
        <v>21809.361841702208</v>
      </c>
      <c r="AU36" s="211">
        <f t="shared" si="19"/>
        <v>21750.991154362735</v>
      </c>
      <c r="AV36" s="211">
        <f t="shared" si="19"/>
        <v>21692.620467023258</v>
      </c>
      <c r="AW36" s="211">
        <f t="shared" si="19"/>
        <v>21634.249779683782</v>
      </c>
      <c r="AX36" s="211">
        <f t="shared" si="19"/>
        <v>21575.879092344308</v>
      </c>
      <c r="AY36" s="211">
        <f t="shared" si="19"/>
        <v>21517.508405004832</v>
      </c>
      <c r="AZ36" s="211">
        <f t="shared" si="20"/>
        <v>21459.137717665355</v>
      </c>
      <c r="BA36" s="211">
        <f t="shared" si="20"/>
        <v>21400.767030325882</v>
      </c>
      <c r="BB36" s="211">
        <f t="shared" si="20"/>
        <v>21342.396342986405</v>
      </c>
      <c r="BC36" s="211">
        <f t="shared" si="20"/>
        <v>21284.025655646928</v>
      </c>
      <c r="BD36" s="211">
        <f t="shared" si="20"/>
        <v>21225.654968307455</v>
      </c>
      <c r="BE36" s="211">
        <f t="shared" si="20"/>
        <v>21167.284280967979</v>
      </c>
      <c r="BF36" s="211">
        <f t="shared" si="20"/>
        <v>21108.913593628502</v>
      </c>
      <c r="BG36" s="211">
        <f t="shared" si="20"/>
        <v>21050.542906289029</v>
      </c>
      <c r="BH36" s="211">
        <f t="shared" si="20"/>
        <v>20992.172218949552</v>
      </c>
      <c r="BI36" s="211">
        <f t="shared" si="20"/>
        <v>20933.801531610075</v>
      </c>
      <c r="BJ36" s="211">
        <f t="shared" si="21"/>
        <v>20875.430844270602</v>
      </c>
      <c r="BK36" s="211">
        <f t="shared" si="21"/>
        <v>20817.060156931126</v>
      </c>
      <c r="BL36" s="211">
        <f t="shared" si="21"/>
        <v>20374.498289853131</v>
      </c>
      <c r="BM36" s="211">
        <f t="shared" si="21"/>
        <v>19931.936422775132</v>
      </c>
      <c r="BN36" s="211">
        <f t="shared" si="21"/>
        <v>19489.374555697137</v>
      </c>
      <c r="BO36" s="211">
        <f t="shared" si="21"/>
        <v>19046.812688619142</v>
      </c>
      <c r="BP36" s="211">
        <f t="shared" si="21"/>
        <v>18604.250821541144</v>
      </c>
      <c r="BQ36" s="211">
        <f t="shared" si="21"/>
        <v>18161.688954463149</v>
      </c>
      <c r="BR36" s="211">
        <f t="shared" si="21"/>
        <v>17719.127087385154</v>
      </c>
      <c r="BS36" s="211">
        <f t="shared" si="21"/>
        <v>17276.565220307159</v>
      </c>
      <c r="BT36" s="211">
        <f t="shared" si="22"/>
        <v>16834.00335322916</v>
      </c>
      <c r="BU36" s="211">
        <f t="shared" si="22"/>
        <v>16391.441486151165</v>
      </c>
      <c r="BV36" s="211">
        <f t="shared" si="22"/>
        <v>15948.879619073168</v>
      </c>
      <c r="BW36" s="211">
        <f t="shared" si="22"/>
        <v>15506.317751995171</v>
      </c>
      <c r="BX36" s="211">
        <f t="shared" si="22"/>
        <v>15063.755884917176</v>
      </c>
      <c r="BY36" s="211">
        <f t="shared" si="22"/>
        <v>14621.194017839181</v>
      </c>
      <c r="BZ36" s="211">
        <f t="shared" si="22"/>
        <v>14178.632150761185</v>
      </c>
      <c r="CA36" s="211">
        <f t="shared" si="22"/>
        <v>13736.070283683188</v>
      </c>
      <c r="CB36" s="211">
        <f t="shared" si="22"/>
        <v>13293.508416605193</v>
      </c>
      <c r="CC36" s="211">
        <f t="shared" si="22"/>
        <v>12850.946549527196</v>
      </c>
      <c r="CD36" s="211">
        <f t="shared" si="23"/>
        <v>12408.384682449199</v>
      </c>
      <c r="CE36" s="211">
        <f t="shared" si="23"/>
        <v>11965.822815371204</v>
      </c>
      <c r="CF36" s="211">
        <f t="shared" si="23"/>
        <v>11523.260948293208</v>
      </c>
      <c r="CG36" s="211">
        <f t="shared" si="23"/>
        <v>11080.699081215211</v>
      </c>
      <c r="CH36" s="211">
        <f t="shared" si="23"/>
        <v>10638.137214137216</v>
      </c>
      <c r="CI36" s="211">
        <f t="shared" si="23"/>
        <v>10195.575347059219</v>
      </c>
      <c r="CJ36" s="211">
        <f t="shared" si="23"/>
        <v>9753.013479981224</v>
      </c>
      <c r="CK36" s="211">
        <f t="shared" si="23"/>
        <v>9310.4516129032272</v>
      </c>
      <c r="CL36" s="211">
        <f t="shared" si="23"/>
        <v>9453.6893300248157</v>
      </c>
      <c r="CM36" s="211">
        <f t="shared" si="23"/>
        <v>9596.9270471464042</v>
      </c>
      <c r="CN36" s="211">
        <f t="shared" si="24"/>
        <v>9740.1647642679909</v>
      </c>
      <c r="CO36" s="211">
        <f t="shared" si="24"/>
        <v>9883.4024813895794</v>
      </c>
      <c r="CP36" s="211">
        <f t="shared" si="24"/>
        <v>10026.640198511168</v>
      </c>
      <c r="CQ36" s="211">
        <f t="shared" si="24"/>
        <v>10169.877915632756</v>
      </c>
      <c r="CR36" s="211">
        <f t="shared" si="24"/>
        <v>10313.115632754343</v>
      </c>
      <c r="CS36" s="211">
        <f t="shared" si="24"/>
        <v>10456.353349875932</v>
      </c>
      <c r="CT36" s="211">
        <f t="shared" si="24"/>
        <v>10599.59106699752</v>
      </c>
      <c r="CU36" s="211">
        <f t="shared" si="24"/>
        <v>10742.828784119109</v>
      </c>
      <c r="CV36" s="211">
        <f t="shared" si="24"/>
        <v>10886.066501240695</v>
      </c>
      <c r="CW36" s="211">
        <f t="shared" si="24"/>
        <v>11029.304218362284</v>
      </c>
      <c r="CX36" s="211">
        <f t="shared" si="25"/>
        <v>11172.541935483872</v>
      </c>
      <c r="CY36" s="211">
        <f t="shared" si="25"/>
        <v>11172.541935483872</v>
      </c>
      <c r="CZ36" s="211">
        <f t="shared" si="25"/>
        <v>11172.541935483872</v>
      </c>
      <c r="DA36" s="211">
        <f t="shared" si="25"/>
        <v>11172.541935483872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0</v>
      </c>
      <c r="D37" s="204">
        <f>Income!D86</f>
        <v>0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0</v>
      </c>
      <c r="V37" s="211">
        <f t="shared" si="17"/>
        <v>0</v>
      </c>
      <c r="W37" s="211">
        <f t="shared" si="17"/>
        <v>0</v>
      </c>
      <c r="X37" s="211">
        <f t="shared" si="17"/>
        <v>0</v>
      </c>
      <c r="Y37" s="211">
        <f t="shared" si="17"/>
        <v>0</v>
      </c>
      <c r="Z37" s="211">
        <f t="shared" si="18"/>
        <v>0</v>
      </c>
      <c r="AA37" s="211">
        <f t="shared" si="18"/>
        <v>0</v>
      </c>
      <c r="AB37" s="211">
        <f t="shared" si="18"/>
        <v>0</v>
      </c>
      <c r="AC37" s="211">
        <f t="shared" si="18"/>
        <v>0</v>
      </c>
      <c r="AD37" s="211">
        <f t="shared" si="18"/>
        <v>0</v>
      </c>
      <c r="AE37" s="211">
        <f t="shared" si="18"/>
        <v>0</v>
      </c>
      <c r="AF37" s="211">
        <f t="shared" si="18"/>
        <v>0</v>
      </c>
      <c r="AG37" s="211">
        <f t="shared" si="18"/>
        <v>0</v>
      </c>
      <c r="AH37" s="211">
        <f t="shared" si="18"/>
        <v>0</v>
      </c>
      <c r="AI37" s="211">
        <f t="shared" si="18"/>
        <v>0</v>
      </c>
      <c r="AJ37" s="211">
        <f t="shared" si="19"/>
        <v>0</v>
      </c>
      <c r="AK37" s="211">
        <f t="shared" si="19"/>
        <v>0</v>
      </c>
      <c r="AL37" s="211">
        <f t="shared" si="19"/>
        <v>0</v>
      </c>
      <c r="AM37" s="211">
        <f t="shared" si="19"/>
        <v>0</v>
      </c>
      <c r="AN37" s="211">
        <f t="shared" si="19"/>
        <v>0</v>
      </c>
      <c r="AO37" s="211">
        <f t="shared" si="19"/>
        <v>0</v>
      </c>
      <c r="AP37" s="211">
        <f t="shared" si="19"/>
        <v>0</v>
      </c>
      <c r="AQ37" s="211">
        <f t="shared" si="19"/>
        <v>0</v>
      </c>
      <c r="AR37" s="211">
        <f t="shared" si="19"/>
        <v>0</v>
      </c>
      <c r="AS37" s="211">
        <f t="shared" si="19"/>
        <v>0</v>
      </c>
      <c r="AT37" s="211">
        <f t="shared" si="20"/>
        <v>0</v>
      </c>
      <c r="AU37" s="211">
        <f t="shared" si="20"/>
        <v>0</v>
      </c>
      <c r="AV37" s="211">
        <f t="shared" si="20"/>
        <v>0</v>
      </c>
      <c r="AW37" s="211">
        <f t="shared" si="20"/>
        <v>0</v>
      </c>
      <c r="AX37" s="211">
        <f t="shared" si="20"/>
        <v>0</v>
      </c>
      <c r="AY37" s="211">
        <f t="shared" si="20"/>
        <v>0</v>
      </c>
      <c r="AZ37" s="211">
        <f t="shared" si="20"/>
        <v>0</v>
      </c>
      <c r="BA37" s="211">
        <f t="shared" si="20"/>
        <v>0</v>
      </c>
      <c r="BB37" s="211">
        <f t="shared" si="20"/>
        <v>0</v>
      </c>
      <c r="BC37" s="211">
        <f t="shared" si="20"/>
        <v>0</v>
      </c>
      <c r="BD37" s="211">
        <f t="shared" si="21"/>
        <v>0</v>
      </c>
      <c r="BE37" s="211">
        <f t="shared" si="21"/>
        <v>0</v>
      </c>
      <c r="BF37" s="211">
        <f t="shared" si="21"/>
        <v>0</v>
      </c>
      <c r="BG37" s="211">
        <f t="shared" si="21"/>
        <v>0</v>
      </c>
      <c r="BH37" s="211">
        <f t="shared" si="21"/>
        <v>0</v>
      </c>
      <c r="BI37" s="211">
        <f t="shared" si="21"/>
        <v>0</v>
      </c>
      <c r="BJ37" s="211">
        <f t="shared" si="21"/>
        <v>0</v>
      </c>
      <c r="BK37" s="211">
        <f t="shared" si="21"/>
        <v>0</v>
      </c>
      <c r="BL37" s="211">
        <f t="shared" si="21"/>
        <v>0</v>
      </c>
      <c r="BM37" s="211">
        <f t="shared" si="21"/>
        <v>0</v>
      </c>
      <c r="BN37" s="211">
        <f t="shared" si="22"/>
        <v>0</v>
      </c>
      <c r="BO37" s="211">
        <f t="shared" si="22"/>
        <v>0</v>
      </c>
      <c r="BP37" s="211">
        <f t="shared" si="22"/>
        <v>0</v>
      </c>
      <c r="BQ37" s="211">
        <f t="shared" si="22"/>
        <v>0</v>
      </c>
      <c r="BR37" s="211">
        <f t="shared" si="22"/>
        <v>0</v>
      </c>
      <c r="BS37" s="211">
        <f t="shared" si="22"/>
        <v>0</v>
      </c>
      <c r="BT37" s="211">
        <f t="shared" si="22"/>
        <v>0</v>
      </c>
      <c r="BU37" s="211">
        <f t="shared" si="22"/>
        <v>0</v>
      </c>
      <c r="BV37" s="211">
        <f t="shared" si="22"/>
        <v>0</v>
      </c>
      <c r="BW37" s="211">
        <f t="shared" si="22"/>
        <v>0</v>
      </c>
      <c r="BX37" s="211">
        <f t="shared" si="23"/>
        <v>0</v>
      </c>
      <c r="BY37" s="211">
        <f t="shared" si="23"/>
        <v>0</v>
      </c>
      <c r="BZ37" s="211">
        <f t="shared" si="23"/>
        <v>0</v>
      </c>
      <c r="CA37" s="211">
        <f t="shared" si="23"/>
        <v>0</v>
      </c>
      <c r="CB37" s="211">
        <f t="shared" si="23"/>
        <v>0</v>
      </c>
      <c r="CC37" s="211">
        <f t="shared" si="23"/>
        <v>0</v>
      </c>
      <c r="CD37" s="211">
        <f t="shared" si="23"/>
        <v>0</v>
      </c>
      <c r="CE37" s="211">
        <f t="shared" si="23"/>
        <v>0</v>
      </c>
      <c r="CF37" s="211">
        <f t="shared" si="23"/>
        <v>0</v>
      </c>
      <c r="CG37" s="211">
        <f t="shared" si="23"/>
        <v>0</v>
      </c>
      <c r="CH37" s="211">
        <f t="shared" si="24"/>
        <v>0</v>
      </c>
      <c r="CI37" s="211">
        <f t="shared" si="24"/>
        <v>0</v>
      </c>
      <c r="CJ37" s="211">
        <f t="shared" si="24"/>
        <v>0</v>
      </c>
      <c r="CK37" s="211">
        <f t="shared" si="24"/>
        <v>0</v>
      </c>
      <c r="CL37" s="211">
        <f t="shared" si="24"/>
        <v>0</v>
      </c>
      <c r="CM37" s="211">
        <f t="shared" si="24"/>
        <v>0</v>
      </c>
      <c r="CN37" s="211">
        <f t="shared" si="24"/>
        <v>0</v>
      </c>
      <c r="CO37" s="211">
        <f t="shared" si="24"/>
        <v>0</v>
      </c>
      <c r="CP37" s="211">
        <f t="shared" si="24"/>
        <v>0</v>
      </c>
      <c r="CQ37" s="211">
        <f t="shared" si="24"/>
        <v>0</v>
      </c>
      <c r="CR37" s="211">
        <f t="shared" si="25"/>
        <v>0</v>
      </c>
      <c r="CS37" s="211">
        <f t="shared" si="25"/>
        <v>0</v>
      </c>
      <c r="CT37" s="211">
        <f t="shared" si="25"/>
        <v>0</v>
      </c>
      <c r="CU37" s="211">
        <f t="shared" si="25"/>
        <v>0</v>
      </c>
      <c r="CV37" s="211">
        <f t="shared" si="25"/>
        <v>0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39953.728283322678</v>
      </c>
      <c r="C38" s="204">
        <f>Income!C88</f>
        <v>51863.527447716639</v>
      </c>
      <c r="D38" s="204">
        <f>Income!D88</f>
        <v>157003.92153281462</v>
      </c>
      <c r="E38" s="204">
        <f>Income!E88</f>
        <v>462696.43688086706</v>
      </c>
      <c r="F38" s="205">
        <f t="shared" ref="F38:AK38" si="26">SUM(F25:F37)</f>
        <v>39953.728283322678</v>
      </c>
      <c r="G38" s="205">
        <f t="shared" si="26"/>
        <v>39953.728283322678</v>
      </c>
      <c r="H38" s="205">
        <f t="shared" si="26"/>
        <v>39953.728283322678</v>
      </c>
      <c r="I38" s="205">
        <f t="shared" si="26"/>
        <v>39953.728283322678</v>
      </c>
      <c r="J38" s="205">
        <f t="shared" si="26"/>
        <v>39953.728283322678</v>
      </c>
      <c r="K38" s="205">
        <f t="shared" si="26"/>
        <v>39953.728283322678</v>
      </c>
      <c r="L38" s="205">
        <f t="shared" si="26"/>
        <v>39953.728283322678</v>
      </c>
      <c r="M38" s="205">
        <f t="shared" si="26"/>
        <v>39953.728283322678</v>
      </c>
      <c r="N38" s="205">
        <f t="shared" si="26"/>
        <v>39953.728283322678</v>
      </c>
      <c r="O38" s="205">
        <f t="shared" si="26"/>
        <v>39953.728283322678</v>
      </c>
      <c r="P38" s="205">
        <f t="shared" si="26"/>
        <v>39953.728283322678</v>
      </c>
      <c r="Q38" s="205">
        <f t="shared" si="26"/>
        <v>39953.728283322678</v>
      </c>
      <c r="R38" s="205">
        <f t="shared" si="26"/>
        <v>39953.728283322678</v>
      </c>
      <c r="S38" s="205">
        <f t="shared" si="26"/>
        <v>39953.728283322678</v>
      </c>
      <c r="T38" s="205">
        <f t="shared" si="26"/>
        <v>39953.728283322678</v>
      </c>
      <c r="U38" s="205">
        <f t="shared" si="26"/>
        <v>39953.728283322678</v>
      </c>
      <c r="V38" s="205">
        <f t="shared" si="26"/>
        <v>39953.728283322678</v>
      </c>
      <c r="W38" s="205">
        <f t="shared" si="26"/>
        <v>39953.728283322678</v>
      </c>
      <c r="X38" s="205">
        <f t="shared" si="26"/>
        <v>39953.728283322678</v>
      </c>
      <c r="Y38" s="205">
        <f t="shared" si="26"/>
        <v>39953.728283322678</v>
      </c>
      <c r="Z38" s="205">
        <f t="shared" si="26"/>
        <v>39953.728283322678</v>
      </c>
      <c r="AA38" s="205">
        <f t="shared" si="26"/>
        <v>40275.614747225212</v>
      </c>
      <c r="AB38" s="205">
        <f t="shared" si="26"/>
        <v>40597.501211127761</v>
      </c>
      <c r="AC38" s="205">
        <f t="shared" si="26"/>
        <v>40919.387675030295</v>
      </c>
      <c r="AD38" s="205">
        <f t="shared" si="26"/>
        <v>41241.274138932829</v>
      </c>
      <c r="AE38" s="205">
        <f t="shared" si="26"/>
        <v>41563.160602835371</v>
      </c>
      <c r="AF38" s="205">
        <f t="shared" si="26"/>
        <v>41885.047066737912</v>
      </c>
      <c r="AG38" s="205">
        <f t="shared" si="26"/>
        <v>42206.933530640454</v>
      </c>
      <c r="AH38" s="205">
        <f t="shared" si="26"/>
        <v>42528.819994542995</v>
      </c>
      <c r="AI38" s="205">
        <f t="shared" si="26"/>
        <v>42850.706458445537</v>
      </c>
      <c r="AJ38" s="205">
        <f t="shared" si="26"/>
        <v>43172.592922348063</v>
      </c>
      <c r="AK38" s="205">
        <f t="shared" si="26"/>
        <v>43494.479386250612</v>
      </c>
      <c r="AL38" s="205">
        <f t="shared" ref="AL38:BQ38" si="27">SUM(AL25:AL37)</f>
        <v>43816.365850153146</v>
      </c>
      <c r="AM38" s="205">
        <f t="shared" si="27"/>
        <v>44138.252314055688</v>
      </c>
      <c r="AN38" s="205">
        <f t="shared" si="27"/>
        <v>44460.138777958229</v>
      </c>
      <c r="AO38" s="205">
        <f t="shared" si="27"/>
        <v>44782.025241860771</v>
      </c>
      <c r="AP38" s="205">
        <f t="shared" si="27"/>
        <v>45103.911705763312</v>
      </c>
      <c r="AQ38" s="205">
        <f t="shared" si="27"/>
        <v>45425.798169665846</v>
      </c>
      <c r="AR38" s="205">
        <f t="shared" si="27"/>
        <v>45747.684633568388</v>
      </c>
      <c r="AS38" s="205">
        <f t="shared" si="27"/>
        <v>46069.571097470922</v>
      </c>
      <c r="AT38" s="205">
        <f t="shared" si="27"/>
        <v>46391.457561373463</v>
      </c>
      <c r="AU38" s="205">
        <f t="shared" si="27"/>
        <v>46713.344025276005</v>
      </c>
      <c r="AV38" s="205">
        <f t="shared" si="27"/>
        <v>47035.230489178546</v>
      </c>
      <c r="AW38" s="205">
        <f t="shared" si="27"/>
        <v>47357.116953081088</v>
      </c>
      <c r="AX38" s="205">
        <f t="shared" si="27"/>
        <v>47679.003416983629</v>
      </c>
      <c r="AY38" s="205">
        <f t="shared" si="27"/>
        <v>48000.889880886163</v>
      </c>
      <c r="AZ38" s="205">
        <f t="shared" si="27"/>
        <v>48322.776344788697</v>
      </c>
      <c r="BA38" s="205">
        <f t="shared" si="27"/>
        <v>48644.662808691246</v>
      </c>
      <c r="BB38" s="205">
        <f t="shared" si="27"/>
        <v>48966.549272593787</v>
      </c>
      <c r="BC38" s="205">
        <f t="shared" si="27"/>
        <v>49288.435736496322</v>
      </c>
      <c r="BD38" s="205">
        <f t="shared" si="27"/>
        <v>49610.322200398863</v>
      </c>
      <c r="BE38" s="205">
        <f t="shared" si="27"/>
        <v>49932.208664301404</v>
      </c>
      <c r="BF38" s="205">
        <f t="shared" si="27"/>
        <v>50254.095128203939</v>
      </c>
      <c r="BG38" s="205">
        <f t="shared" si="27"/>
        <v>50575.981592106487</v>
      </c>
      <c r="BH38" s="205">
        <f t="shared" si="27"/>
        <v>50897.868056009022</v>
      </c>
      <c r="BI38" s="205">
        <f t="shared" si="27"/>
        <v>51219.754519911556</v>
      </c>
      <c r="BJ38" s="205">
        <f t="shared" si="27"/>
        <v>51541.640983814097</v>
      </c>
      <c r="BK38" s="205">
        <f t="shared" si="27"/>
        <v>51863.527447716639</v>
      </c>
      <c r="BL38" s="205">
        <f t="shared" si="27"/>
        <v>55907.388758681947</v>
      </c>
      <c r="BM38" s="205">
        <f t="shared" si="27"/>
        <v>59951.250069647256</v>
      </c>
      <c r="BN38" s="205">
        <f t="shared" si="27"/>
        <v>63995.111380612565</v>
      </c>
      <c r="BO38" s="205">
        <f t="shared" si="27"/>
        <v>68038.972691577859</v>
      </c>
      <c r="BP38" s="205">
        <f t="shared" si="27"/>
        <v>72082.834002543183</v>
      </c>
      <c r="BQ38" s="205">
        <f t="shared" si="27"/>
        <v>76126.695313508491</v>
      </c>
      <c r="BR38" s="205">
        <f t="shared" ref="BR38:CW38" si="28">SUM(BR25:BR37)</f>
        <v>80170.5566244738</v>
      </c>
      <c r="BS38" s="205">
        <f t="shared" si="28"/>
        <v>84214.417935439094</v>
      </c>
      <c r="BT38" s="205">
        <f t="shared" si="28"/>
        <v>88258.279246404418</v>
      </c>
      <c r="BU38" s="205">
        <f t="shared" si="28"/>
        <v>92302.140557369727</v>
      </c>
      <c r="BV38" s="205">
        <f t="shared" si="28"/>
        <v>96346.001868335021</v>
      </c>
      <c r="BW38" s="205">
        <f t="shared" si="28"/>
        <v>100389.86317930034</v>
      </c>
      <c r="BX38" s="205">
        <f t="shared" si="28"/>
        <v>104433.72449026565</v>
      </c>
      <c r="BY38" s="205">
        <f t="shared" si="28"/>
        <v>108477.58580123096</v>
      </c>
      <c r="BZ38" s="205">
        <f t="shared" si="28"/>
        <v>112521.44711219627</v>
      </c>
      <c r="CA38" s="205">
        <f t="shared" si="28"/>
        <v>116565.30842316158</v>
      </c>
      <c r="CB38" s="205">
        <f t="shared" si="28"/>
        <v>120609.16973412689</v>
      </c>
      <c r="CC38" s="205">
        <f t="shared" si="28"/>
        <v>124653.03104509221</v>
      </c>
      <c r="CD38" s="205">
        <f t="shared" si="28"/>
        <v>128696.89235605751</v>
      </c>
      <c r="CE38" s="205">
        <f t="shared" si="28"/>
        <v>132740.7536670228</v>
      </c>
      <c r="CF38" s="205">
        <f t="shared" si="28"/>
        <v>136784.61497798812</v>
      </c>
      <c r="CG38" s="205">
        <f t="shared" si="28"/>
        <v>140828.47628895342</v>
      </c>
      <c r="CH38" s="205">
        <f t="shared" si="28"/>
        <v>144872.33759991871</v>
      </c>
      <c r="CI38" s="205">
        <f t="shared" si="28"/>
        <v>148916.19891088406</v>
      </c>
      <c r="CJ38" s="205">
        <f t="shared" si="28"/>
        <v>152960.06022184939</v>
      </c>
      <c r="CK38" s="205">
        <f t="shared" si="28"/>
        <v>157003.92153281462</v>
      </c>
      <c r="CL38" s="205">
        <f t="shared" si="28"/>
        <v>180518.73040574175</v>
      </c>
      <c r="CM38" s="205">
        <f t="shared" si="28"/>
        <v>204033.53927866888</v>
      </c>
      <c r="CN38" s="205">
        <f t="shared" si="28"/>
        <v>227548.348151596</v>
      </c>
      <c r="CO38" s="205">
        <f t="shared" si="28"/>
        <v>251063.1570245231</v>
      </c>
      <c r="CP38" s="205">
        <f t="shared" si="28"/>
        <v>274577.96589745028</v>
      </c>
      <c r="CQ38" s="205">
        <f t="shared" si="28"/>
        <v>298092.77477037732</v>
      </c>
      <c r="CR38" s="205">
        <f t="shared" si="28"/>
        <v>321607.58364330442</v>
      </c>
      <c r="CS38" s="205">
        <f t="shared" si="28"/>
        <v>345122.39251623151</v>
      </c>
      <c r="CT38" s="205">
        <f t="shared" si="28"/>
        <v>368637.20138915867</v>
      </c>
      <c r="CU38" s="205">
        <f t="shared" si="28"/>
        <v>392152.01026208577</v>
      </c>
      <c r="CV38" s="205">
        <f t="shared" si="28"/>
        <v>415666.81913501292</v>
      </c>
      <c r="CW38" s="205">
        <f t="shared" si="28"/>
        <v>439181.62800793996</v>
      </c>
      <c r="CX38" s="205">
        <f>SUM(CX25:CX37)</f>
        <v>462696.43688086706</v>
      </c>
      <c r="CY38" s="205">
        <f>SUM(CY25:CY37)</f>
        <v>462696.43688086706</v>
      </c>
      <c r="CZ38" s="205">
        <f>SUM(CZ25:CZ37)</f>
        <v>462696.43688086706</v>
      </c>
      <c r="DA38" s="205">
        <f>SUM(DA25:DA37)</f>
        <v>462696.43688086706</v>
      </c>
    </row>
    <row r="39" spans="1:105">
      <c r="A39" s="202" t="str">
        <f>Income!A89</f>
        <v>Food Poverty line</v>
      </c>
      <c r="B39" s="204">
        <f>Income!B89</f>
        <v>21863.869686861162</v>
      </c>
      <c r="C39" s="204">
        <f>Income!C89</f>
        <v>21863.869686861162</v>
      </c>
      <c r="D39" s="204">
        <f>Income!D89</f>
        <v>21863.869686861162</v>
      </c>
      <c r="E39" s="204">
        <f>Income!E89</f>
        <v>21863.869686861162</v>
      </c>
      <c r="F39" s="205">
        <f t="shared" ref="F39:U39" si="29">IF(F$2&lt;=($B$2+$C$2+$D$2),IF(F$2&lt;=($B$2+$C$2),IF(F$2&lt;=$B$2,$B39,$C39),$D39),$E39)</f>
        <v>21863.869686861162</v>
      </c>
      <c r="G39" s="205">
        <f t="shared" si="29"/>
        <v>21863.869686861162</v>
      </c>
      <c r="H39" s="205">
        <f t="shared" si="29"/>
        <v>21863.869686861162</v>
      </c>
      <c r="I39" s="205">
        <f t="shared" si="29"/>
        <v>21863.869686861162</v>
      </c>
      <c r="J39" s="205">
        <f t="shared" si="29"/>
        <v>21863.869686861162</v>
      </c>
      <c r="K39" s="205">
        <f t="shared" si="29"/>
        <v>21863.869686861162</v>
      </c>
      <c r="L39" s="205">
        <f t="shared" si="29"/>
        <v>21863.869686861162</v>
      </c>
      <c r="M39" s="205">
        <f t="shared" si="29"/>
        <v>21863.869686861162</v>
      </c>
      <c r="N39" s="205">
        <f t="shared" si="29"/>
        <v>21863.869686861162</v>
      </c>
      <c r="O39" s="205">
        <f t="shared" si="29"/>
        <v>21863.869686861162</v>
      </c>
      <c r="P39" s="205">
        <f t="shared" si="29"/>
        <v>21863.869686861162</v>
      </c>
      <c r="Q39" s="205">
        <f t="shared" si="29"/>
        <v>21863.869686861162</v>
      </c>
      <c r="R39" s="205">
        <f t="shared" si="29"/>
        <v>21863.869686861162</v>
      </c>
      <c r="S39" s="205">
        <f t="shared" si="29"/>
        <v>21863.869686861162</v>
      </c>
      <c r="T39" s="205">
        <f t="shared" si="29"/>
        <v>21863.869686861162</v>
      </c>
      <c r="U39" s="205">
        <f t="shared" si="29"/>
        <v>21863.869686861162</v>
      </c>
      <c r="V39" s="205">
        <f t="shared" ref="V39:AK40" si="30">IF(V$2&lt;=($B$2+$C$2+$D$2),IF(V$2&lt;=($B$2+$C$2),IF(V$2&lt;=$B$2,$B39,$C39),$D39),$E39)</f>
        <v>21863.869686861162</v>
      </c>
      <c r="W39" s="205">
        <f t="shared" si="30"/>
        <v>21863.869686861162</v>
      </c>
      <c r="X39" s="205">
        <f t="shared" si="30"/>
        <v>21863.869686861162</v>
      </c>
      <c r="Y39" s="205">
        <f t="shared" si="30"/>
        <v>21863.869686861162</v>
      </c>
      <c r="Z39" s="205">
        <f t="shared" si="30"/>
        <v>21863.869686861162</v>
      </c>
      <c r="AA39" s="205">
        <f t="shared" si="30"/>
        <v>21863.869686861162</v>
      </c>
      <c r="AB39" s="205">
        <f t="shared" si="30"/>
        <v>21863.869686861162</v>
      </c>
      <c r="AC39" s="205">
        <f t="shared" si="30"/>
        <v>21863.869686861162</v>
      </c>
      <c r="AD39" s="205">
        <f t="shared" si="30"/>
        <v>21863.869686861162</v>
      </c>
      <c r="AE39" s="205">
        <f t="shared" si="30"/>
        <v>21863.869686861162</v>
      </c>
      <c r="AF39" s="205">
        <f t="shared" si="30"/>
        <v>21863.869686861162</v>
      </c>
      <c r="AG39" s="205">
        <f t="shared" si="30"/>
        <v>21863.869686861162</v>
      </c>
      <c r="AH39" s="205">
        <f t="shared" si="30"/>
        <v>21863.869686861162</v>
      </c>
      <c r="AI39" s="205">
        <f t="shared" si="30"/>
        <v>21863.869686861162</v>
      </c>
      <c r="AJ39" s="205">
        <f t="shared" si="30"/>
        <v>21863.869686861162</v>
      </c>
      <c r="AK39" s="205">
        <f t="shared" si="30"/>
        <v>21863.869686861162</v>
      </c>
      <c r="AL39" s="205">
        <f t="shared" ref="AL39:BA40" si="31">IF(AL$2&lt;=($B$2+$C$2+$D$2),IF(AL$2&lt;=($B$2+$C$2),IF(AL$2&lt;=$B$2,$B39,$C39),$D39),$E39)</f>
        <v>21863.869686861162</v>
      </c>
      <c r="AM39" s="205">
        <f t="shared" si="31"/>
        <v>21863.869686861162</v>
      </c>
      <c r="AN39" s="205">
        <f t="shared" si="31"/>
        <v>21863.869686861162</v>
      </c>
      <c r="AO39" s="205">
        <f t="shared" si="31"/>
        <v>21863.869686861162</v>
      </c>
      <c r="AP39" s="205">
        <f t="shared" si="31"/>
        <v>21863.869686861162</v>
      </c>
      <c r="AQ39" s="205">
        <f t="shared" si="31"/>
        <v>21863.869686861162</v>
      </c>
      <c r="AR39" s="205">
        <f t="shared" si="31"/>
        <v>21863.869686861162</v>
      </c>
      <c r="AS39" s="205">
        <f t="shared" si="31"/>
        <v>21863.869686861162</v>
      </c>
      <c r="AT39" s="205">
        <f t="shared" si="31"/>
        <v>21863.869686861162</v>
      </c>
      <c r="AU39" s="205">
        <f t="shared" si="31"/>
        <v>21863.869686861162</v>
      </c>
      <c r="AV39" s="205">
        <f t="shared" si="31"/>
        <v>21863.869686861162</v>
      </c>
      <c r="AW39" s="205">
        <f t="shared" si="31"/>
        <v>21863.869686861162</v>
      </c>
      <c r="AX39" s="205">
        <f t="shared" si="31"/>
        <v>21863.869686861162</v>
      </c>
      <c r="AY39" s="205">
        <f t="shared" si="31"/>
        <v>21863.869686861162</v>
      </c>
      <c r="AZ39" s="205">
        <f t="shared" si="31"/>
        <v>21863.869686861162</v>
      </c>
      <c r="BA39" s="205">
        <f t="shared" si="31"/>
        <v>21863.869686861162</v>
      </c>
      <c r="BB39" s="205">
        <f t="shared" ref="BB39:CD40" si="32">IF(BB$2&lt;=($B$2+$C$2+$D$2),IF(BB$2&lt;=($B$2+$C$2),IF(BB$2&lt;=$B$2,$B39,$C39),$D39),$E39)</f>
        <v>21863.869686861162</v>
      </c>
      <c r="BC39" s="205">
        <f t="shared" si="32"/>
        <v>21863.869686861162</v>
      </c>
      <c r="BD39" s="205">
        <f t="shared" si="32"/>
        <v>21863.869686861162</v>
      </c>
      <c r="BE39" s="205">
        <f t="shared" si="32"/>
        <v>21863.869686861162</v>
      </c>
      <c r="BF39" s="205">
        <f t="shared" si="32"/>
        <v>21863.869686861162</v>
      </c>
      <c r="BG39" s="205">
        <f t="shared" si="32"/>
        <v>21863.869686861162</v>
      </c>
      <c r="BH39" s="205">
        <f t="shared" si="32"/>
        <v>21863.869686861162</v>
      </c>
      <c r="BI39" s="205">
        <f t="shared" si="32"/>
        <v>21863.869686861162</v>
      </c>
      <c r="BJ39" s="205">
        <f t="shared" si="32"/>
        <v>21863.869686861162</v>
      </c>
      <c r="BK39" s="205">
        <f t="shared" si="32"/>
        <v>21863.869686861162</v>
      </c>
      <c r="BL39" s="205">
        <f t="shared" si="32"/>
        <v>21863.869686861162</v>
      </c>
      <c r="BM39" s="205">
        <f t="shared" si="32"/>
        <v>21863.869686861162</v>
      </c>
      <c r="BN39" s="205">
        <f t="shared" si="32"/>
        <v>21863.869686861162</v>
      </c>
      <c r="BO39" s="205">
        <f t="shared" si="32"/>
        <v>21863.869686861162</v>
      </c>
      <c r="BP39" s="205">
        <f t="shared" si="32"/>
        <v>21863.869686861162</v>
      </c>
      <c r="BQ39" s="205">
        <f t="shared" si="32"/>
        <v>21863.869686861162</v>
      </c>
      <c r="BR39" s="205">
        <f t="shared" si="32"/>
        <v>21863.869686861162</v>
      </c>
      <c r="BS39" s="205">
        <f t="shared" si="32"/>
        <v>21863.869686861162</v>
      </c>
      <c r="BT39" s="205">
        <f t="shared" si="32"/>
        <v>21863.869686861162</v>
      </c>
      <c r="BU39" s="205">
        <f t="shared" si="32"/>
        <v>21863.869686861162</v>
      </c>
      <c r="BV39" s="205">
        <f t="shared" si="32"/>
        <v>21863.869686861162</v>
      </c>
      <c r="BW39" s="205">
        <f t="shared" si="32"/>
        <v>21863.869686861162</v>
      </c>
      <c r="BX39" s="205">
        <f t="shared" si="32"/>
        <v>21863.869686861162</v>
      </c>
      <c r="BY39" s="205">
        <f t="shared" si="32"/>
        <v>21863.869686861162</v>
      </c>
      <c r="BZ39" s="205">
        <f t="shared" si="32"/>
        <v>21863.869686861162</v>
      </c>
      <c r="CA39" s="205">
        <f t="shared" si="32"/>
        <v>21863.869686861162</v>
      </c>
      <c r="CB39" s="205">
        <f t="shared" si="32"/>
        <v>21863.869686861162</v>
      </c>
      <c r="CC39" s="205">
        <f t="shared" si="32"/>
        <v>21863.869686861162</v>
      </c>
      <c r="CD39" s="205">
        <f t="shared" si="32"/>
        <v>21863.869686861162</v>
      </c>
      <c r="CE39" s="205">
        <f t="shared" ref="CE39:CR40" si="33">IF(CE$2&lt;=($B$2+$C$2+$D$2),IF(CE$2&lt;=($B$2+$C$2),IF(CE$2&lt;=$B$2,$B39,$C39),$D39),$E39)</f>
        <v>21863.869686861162</v>
      </c>
      <c r="CF39" s="205">
        <f t="shared" si="33"/>
        <v>21863.869686861162</v>
      </c>
      <c r="CG39" s="205">
        <f t="shared" si="33"/>
        <v>21863.869686861162</v>
      </c>
      <c r="CH39" s="205">
        <f t="shared" si="33"/>
        <v>21863.869686861162</v>
      </c>
      <c r="CI39" s="205">
        <f t="shared" si="33"/>
        <v>21863.869686861162</v>
      </c>
      <c r="CJ39" s="205">
        <f t="shared" si="33"/>
        <v>21863.869686861162</v>
      </c>
      <c r="CK39" s="205">
        <f t="shared" si="33"/>
        <v>21863.869686861162</v>
      </c>
      <c r="CL39" s="205">
        <f t="shared" si="33"/>
        <v>21863.869686861162</v>
      </c>
      <c r="CM39" s="205">
        <f t="shared" si="33"/>
        <v>21863.869686861162</v>
      </c>
      <c r="CN39" s="205">
        <f t="shared" si="33"/>
        <v>21863.869686861162</v>
      </c>
      <c r="CO39" s="205">
        <f t="shared" si="33"/>
        <v>21863.869686861162</v>
      </c>
      <c r="CP39" s="205">
        <f t="shared" si="33"/>
        <v>21863.869686861162</v>
      </c>
      <c r="CQ39" s="205">
        <f t="shared" si="33"/>
        <v>21863.869686861162</v>
      </c>
      <c r="CR39" s="205">
        <f t="shared" si="33"/>
        <v>21863.869686861162</v>
      </c>
      <c r="CS39" s="205">
        <f t="shared" ref="CS39:DA40" si="34">IF(CS$2&lt;=($B$2+$C$2+$D$2),IF(CS$2&lt;=($B$2+$C$2),IF(CS$2&lt;=$B$2,$B39,$C39),$D39),$E39)</f>
        <v>21863.869686861162</v>
      </c>
      <c r="CT39" s="205">
        <f t="shared" si="34"/>
        <v>21863.869686861162</v>
      </c>
      <c r="CU39" s="205">
        <f t="shared" si="34"/>
        <v>21863.869686861162</v>
      </c>
      <c r="CV39" s="205">
        <f t="shared" si="34"/>
        <v>21863.869686861162</v>
      </c>
      <c r="CW39" s="205">
        <f t="shared" si="34"/>
        <v>21863.869686861162</v>
      </c>
      <c r="CX39" s="205">
        <f t="shared" si="34"/>
        <v>21863.869686861162</v>
      </c>
      <c r="CY39" s="205">
        <f t="shared" si="34"/>
        <v>21863.869686861162</v>
      </c>
      <c r="CZ39" s="205">
        <f t="shared" si="34"/>
        <v>21863.869686861162</v>
      </c>
      <c r="DA39" s="205">
        <f t="shared" si="34"/>
        <v>21863.869686861162</v>
      </c>
    </row>
    <row r="40" spans="1:105">
      <c r="A40" s="202" t="str">
        <f>Income!A90</f>
        <v>Lower Bound Poverty line</v>
      </c>
      <c r="B40" s="204">
        <f>Income!B90</f>
        <v>35134.825989516008</v>
      </c>
      <c r="C40" s="204">
        <f>Income!C90</f>
        <v>35134.825989516001</v>
      </c>
      <c r="D40" s="204">
        <f>Income!D90</f>
        <v>35134.825989516001</v>
      </c>
      <c r="E40" s="204">
        <f>Income!E90</f>
        <v>35134.825989516008</v>
      </c>
      <c r="F40" s="205">
        <f t="shared" ref="F40:U40" si="35">IF(F$2&lt;=($B$2+$C$2+$D$2),IF(F$2&lt;=($B$2+$C$2),IF(F$2&lt;=$B$2,$B40,$C40),$D40),$E40)</f>
        <v>35134.825989516008</v>
      </c>
      <c r="G40" s="205">
        <f t="shared" si="35"/>
        <v>35134.825989516008</v>
      </c>
      <c r="H40" s="205">
        <f t="shared" si="35"/>
        <v>35134.825989516008</v>
      </c>
      <c r="I40" s="205">
        <f t="shared" si="35"/>
        <v>35134.825989516008</v>
      </c>
      <c r="J40" s="205">
        <f t="shared" si="35"/>
        <v>35134.825989516008</v>
      </c>
      <c r="K40" s="205">
        <f t="shared" si="35"/>
        <v>35134.825989516008</v>
      </c>
      <c r="L40" s="205">
        <f t="shared" si="35"/>
        <v>35134.825989516008</v>
      </c>
      <c r="M40" s="205">
        <f t="shared" si="35"/>
        <v>35134.825989516008</v>
      </c>
      <c r="N40" s="205">
        <f t="shared" si="35"/>
        <v>35134.825989516008</v>
      </c>
      <c r="O40" s="205">
        <f t="shared" si="35"/>
        <v>35134.825989516008</v>
      </c>
      <c r="P40" s="205">
        <f t="shared" si="35"/>
        <v>35134.825989516008</v>
      </c>
      <c r="Q40" s="205">
        <f t="shared" si="35"/>
        <v>35134.825989516008</v>
      </c>
      <c r="R40" s="205">
        <f t="shared" si="35"/>
        <v>35134.825989516008</v>
      </c>
      <c r="S40" s="205">
        <f t="shared" si="35"/>
        <v>35134.825989516008</v>
      </c>
      <c r="T40" s="205">
        <f t="shared" si="35"/>
        <v>35134.825989516008</v>
      </c>
      <c r="U40" s="205">
        <f t="shared" si="35"/>
        <v>35134.825989516008</v>
      </c>
      <c r="V40" s="205">
        <f t="shared" si="30"/>
        <v>35134.825989516008</v>
      </c>
      <c r="W40" s="205">
        <f t="shared" si="30"/>
        <v>35134.825989516008</v>
      </c>
      <c r="X40" s="205">
        <f t="shared" si="30"/>
        <v>35134.825989516008</v>
      </c>
      <c r="Y40" s="205">
        <f t="shared" si="30"/>
        <v>35134.825989516008</v>
      </c>
      <c r="Z40" s="205">
        <f t="shared" si="30"/>
        <v>35134.825989516008</v>
      </c>
      <c r="AA40" s="205">
        <f t="shared" si="30"/>
        <v>35134.825989516008</v>
      </c>
      <c r="AB40" s="205">
        <f t="shared" si="30"/>
        <v>35134.825989516008</v>
      </c>
      <c r="AC40" s="205">
        <f t="shared" si="30"/>
        <v>35134.825989516008</v>
      </c>
      <c r="AD40" s="205">
        <f t="shared" si="30"/>
        <v>35134.825989516008</v>
      </c>
      <c r="AE40" s="205">
        <f t="shared" si="30"/>
        <v>35134.825989516008</v>
      </c>
      <c r="AF40" s="205">
        <f t="shared" si="30"/>
        <v>35134.825989516008</v>
      </c>
      <c r="AG40" s="205">
        <f t="shared" si="30"/>
        <v>35134.825989516008</v>
      </c>
      <c r="AH40" s="205">
        <f t="shared" si="30"/>
        <v>35134.825989516008</v>
      </c>
      <c r="AI40" s="205">
        <f t="shared" si="30"/>
        <v>35134.825989516008</v>
      </c>
      <c r="AJ40" s="205">
        <f t="shared" si="30"/>
        <v>35134.825989516008</v>
      </c>
      <c r="AK40" s="205">
        <f t="shared" si="30"/>
        <v>35134.825989516008</v>
      </c>
      <c r="AL40" s="205">
        <f t="shared" si="31"/>
        <v>35134.825989516008</v>
      </c>
      <c r="AM40" s="205">
        <f t="shared" si="31"/>
        <v>35134.825989516008</v>
      </c>
      <c r="AN40" s="205">
        <f t="shared" si="31"/>
        <v>35134.825989516008</v>
      </c>
      <c r="AO40" s="205">
        <f t="shared" si="31"/>
        <v>35134.825989516008</v>
      </c>
      <c r="AP40" s="205">
        <f t="shared" si="31"/>
        <v>35134.825989516008</v>
      </c>
      <c r="AQ40" s="205">
        <f t="shared" si="31"/>
        <v>35134.825989516008</v>
      </c>
      <c r="AR40" s="205">
        <f t="shared" si="31"/>
        <v>35134.825989516008</v>
      </c>
      <c r="AS40" s="205">
        <f t="shared" si="31"/>
        <v>35134.825989516008</v>
      </c>
      <c r="AT40" s="205">
        <f t="shared" si="31"/>
        <v>35134.825989516001</v>
      </c>
      <c r="AU40" s="205">
        <f t="shared" si="31"/>
        <v>35134.825989516001</v>
      </c>
      <c r="AV40" s="205">
        <f t="shared" si="31"/>
        <v>35134.825989516001</v>
      </c>
      <c r="AW40" s="205">
        <f t="shared" si="31"/>
        <v>35134.825989516001</v>
      </c>
      <c r="AX40" s="205">
        <f t="shared" si="31"/>
        <v>35134.825989516001</v>
      </c>
      <c r="AY40" s="205">
        <f t="shared" si="31"/>
        <v>35134.825989516001</v>
      </c>
      <c r="AZ40" s="205">
        <f t="shared" si="31"/>
        <v>35134.825989516001</v>
      </c>
      <c r="BA40" s="205">
        <f t="shared" si="31"/>
        <v>35134.825989516001</v>
      </c>
      <c r="BB40" s="205">
        <f t="shared" si="32"/>
        <v>35134.825989516001</v>
      </c>
      <c r="BC40" s="205">
        <f t="shared" si="32"/>
        <v>35134.825989516001</v>
      </c>
      <c r="BD40" s="205">
        <f t="shared" si="32"/>
        <v>35134.825989516001</v>
      </c>
      <c r="BE40" s="205">
        <f t="shared" si="32"/>
        <v>35134.825989516001</v>
      </c>
      <c r="BF40" s="205">
        <f t="shared" si="32"/>
        <v>35134.825989516001</v>
      </c>
      <c r="BG40" s="205">
        <f t="shared" si="32"/>
        <v>35134.825989516001</v>
      </c>
      <c r="BH40" s="205">
        <f t="shared" si="32"/>
        <v>35134.825989516001</v>
      </c>
      <c r="BI40" s="205">
        <f t="shared" si="32"/>
        <v>35134.825989516001</v>
      </c>
      <c r="BJ40" s="205">
        <f t="shared" si="32"/>
        <v>35134.825989516001</v>
      </c>
      <c r="BK40" s="205">
        <f t="shared" si="32"/>
        <v>35134.825989516001</v>
      </c>
      <c r="BL40" s="205">
        <f t="shared" si="32"/>
        <v>35134.825989516001</v>
      </c>
      <c r="BM40" s="205">
        <f t="shared" si="32"/>
        <v>35134.825989516001</v>
      </c>
      <c r="BN40" s="205">
        <f t="shared" si="32"/>
        <v>35134.825989516001</v>
      </c>
      <c r="BO40" s="205">
        <f t="shared" si="32"/>
        <v>35134.825989516001</v>
      </c>
      <c r="BP40" s="205">
        <f t="shared" si="32"/>
        <v>35134.825989516001</v>
      </c>
      <c r="BQ40" s="205">
        <f t="shared" si="32"/>
        <v>35134.825989516001</v>
      </c>
      <c r="BR40" s="205">
        <f t="shared" si="32"/>
        <v>35134.825989516001</v>
      </c>
      <c r="BS40" s="205">
        <f t="shared" si="32"/>
        <v>35134.825989516001</v>
      </c>
      <c r="BT40" s="205">
        <f t="shared" si="32"/>
        <v>35134.825989516001</v>
      </c>
      <c r="BU40" s="205">
        <f t="shared" si="32"/>
        <v>35134.825989516001</v>
      </c>
      <c r="BV40" s="205">
        <f t="shared" si="32"/>
        <v>35134.825989516001</v>
      </c>
      <c r="BW40" s="205">
        <f t="shared" si="32"/>
        <v>35134.825989516001</v>
      </c>
      <c r="BX40" s="205">
        <f t="shared" si="32"/>
        <v>35134.825989516001</v>
      </c>
      <c r="BY40" s="205">
        <f t="shared" si="32"/>
        <v>35134.825989516001</v>
      </c>
      <c r="BZ40" s="205">
        <f t="shared" si="32"/>
        <v>35134.825989516001</v>
      </c>
      <c r="CA40" s="205">
        <f t="shared" si="32"/>
        <v>35134.825989516001</v>
      </c>
      <c r="CB40" s="205">
        <f t="shared" si="32"/>
        <v>35134.825989516001</v>
      </c>
      <c r="CC40" s="205">
        <f t="shared" si="32"/>
        <v>35134.825989516001</v>
      </c>
      <c r="CD40" s="205">
        <f t="shared" si="32"/>
        <v>35134.825989516001</v>
      </c>
      <c r="CE40" s="205">
        <f t="shared" si="33"/>
        <v>35134.825989516001</v>
      </c>
      <c r="CF40" s="205">
        <f t="shared" si="33"/>
        <v>35134.825989516001</v>
      </c>
      <c r="CG40" s="205">
        <f t="shared" si="33"/>
        <v>35134.825989516001</v>
      </c>
      <c r="CH40" s="205">
        <f t="shared" si="33"/>
        <v>35134.825989516001</v>
      </c>
      <c r="CI40" s="205">
        <f t="shared" si="33"/>
        <v>35134.825989516001</v>
      </c>
      <c r="CJ40" s="205">
        <f t="shared" si="33"/>
        <v>35134.825989516001</v>
      </c>
      <c r="CK40" s="205">
        <f t="shared" si="33"/>
        <v>35134.825989516001</v>
      </c>
      <c r="CL40" s="205">
        <f t="shared" si="33"/>
        <v>35134.825989516001</v>
      </c>
      <c r="CM40" s="205">
        <f t="shared" si="33"/>
        <v>35134.825989516001</v>
      </c>
      <c r="CN40" s="205">
        <f t="shared" si="33"/>
        <v>35134.825989516001</v>
      </c>
      <c r="CO40" s="205">
        <f t="shared" si="33"/>
        <v>35134.825989516001</v>
      </c>
      <c r="CP40" s="205">
        <f t="shared" si="33"/>
        <v>35134.825989516001</v>
      </c>
      <c r="CQ40" s="205">
        <f t="shared" si="33"/>
        <v>35134.825989516001</v>
      </c>
      <c r="CR40" s="205">
        <f t="shared" si="33"/>
        <v>35134.825989516001</v>
      </c>
      <c r="CS40" s="205">
        <f t="shared" si="34"/>
        <v>35134.825989516001</v>
      </c>
      <c r="CT40" s="205">
        <f t="shared" si="34"/>
        <v>35134.825989516008</v>
      </c>
      <c r="CU40" s="205">
        <f t="shared" si="34"/>
        <v>35134.825989516008</v>
      </c>
      <c r="CV40" s="205">
        <f t="shared" si="34"/>
        <v>35134.825989516008</v>
      </c>
      <c r="CW40" s="205">
        <f t="shared" si="34"/>
        <v>35134.825989516008</v>
      </c>
      <c r="CX40" s="205">
        <f t="shared" si="34"/>
        <v>35134.825989516008</v>
      </c>
      <c r="CY40" s="205">
        <f t="shared" si="34"/>
        <v>35134.825989516008</v>
      </c>
      <c r="CZ40" s="205">
        <f t="shared" si="34"/>
        <v>35134.825989516008</v>
      </c>
      <c r="DA40" s="205">
        <f t="shared" si="34"/>
        <v>35134.825989516008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62.369893540281673</v>
      </c>
      <c r="AB42" s="211">
        <f t="shared" si="36"/>
        <v>62.369893540281673</v>
      </c>
      <c r="AC42" s="211">
        <f t="shared" si="36"/>
        <v>62.369893540281673</v>
      </c>
      <c r="AD42" s="211">
        <f t="shared" si="36"/>
        <v>62.369893540281673</v>
      </c>
      <c r="AE42" s="211">
        <f t="shared" si="36"/>
        <v>62.369893540281673</v>
      </c>
      <c r="AF42" s="211">
        <f t="shared" si="36"/>
        <v>62.369893540281673</v>
      </c>
      <c r="AG42" s="211">
        <f t="shared" si="36"/>
        <v>62.369893540281673</v>
      </c>
      <c r="AH42" s="211">
        <f t="shared" si="36"/>
        <v>62.369893540281673</v>
      </c>
      <c r="AI42" s="211">
        <f t="shared" si="36"/>
        <v>62.369893540281673</v>
      </c>
      <c r="AJ42" s="211">
        <f t="shared" si="36"/>
        <v>62.369893540281673</v>
      </c>
      <c r="AK42" s="211">
        <f t="shared" si="36"/>
        <v>62.369893540281673</v>
      </c>
      <c r="AL42" s="211">
        <f t="shared" ref="AL42:BQ42" si="37">IF(AL$22&lt;=$E$24,IF(AL$22&lt;=$D$24,IF(AL$22&lt;=$C$24,IF(AL$22&lt;=$B$24,$B108,($C25-$B25)/($C$24-$B$24)),($D25-$C25)/($D$24-$C$24)),($E25-$D25)/($E$24-$D$24)),$F108)</f>
        <v>62.369893540281673</v>
      </c>
      <c r="AM42" s="211">
        <f t="shared" si="37"/>
        <v>62.369893540281673</v>
      </c>
      <c r="AN42" s="211">
        <f t="shared" si="37"/>
        <v>62.369893540281673</v>
      </c>
      <c r="AO42" s="211">
        <f t="shared" si="37"/>
        <v>62.369893540281673</v>
      </c>
      <c r="AP42" s="211">
        <f t="shared" si="37"/>
        <v>62.369893540281673</v>
      </c>
      <c r="AQ42" s="211">
        <f t="shared" si="37"/>
        <v>62.369893540281673</v>
      </c>
      <c r="AR42" s="211">
        <f t="shared" si="37"/>
        <v>62.369893540281673</v>
      </c>
      <c r="AS42" s="211">
        <f t="shared" si="37"/>
        <v>62.369893540281673</v>
      </c>
      <c r="AT42" s="211">
        <f t="shared" si="37"/>
        <v>62.369893540281673</v>
      </c>
      <c r="AU42" s="211">
        <f t="shared" si="37"/>
        <v>62.369893540281673</v>
      </c>
      <c r="AV42" s="211">
        <f t="shared" si="37"/>
        <v>62.369893540281673</v>
      </c>
      <c r="AW42" s="211">
        <f t="shared" si="37"/>
        <v>62.369893540281673</v>
      </c>
      <c r="AX42" s="211">
        <f t="shared" si="37"/>
        <v>62.369893540281673</v>
      </c>
      <c r="AY42" s="211">
        <f t="shared" si="37"/>
        <v>62.369893540281673</v>
      </c>
      <c r="AZ42" s="211">
        <f t="shared" si="37"/>
        <v>62.369893540281673</v>
      </c>
      <c r="BA42" s="211">
        <f t="shared" si="37"/>
        <v>62.369893540281673</v>
      </c>
      <c r="BB42" s="211">
        <f t="shared" si="37"/>
        <v>62.369893540281673</v>
      </c>
      <c r="BC42" s="211">
        <f t="shared" si="37"/>
        <v>62.369893540281673</v>
      </c>
      <c r="BD42" s="211">
        <f t="shared" si="37"/>
        <v>62.369893540281673</v>
      </c>
      <c r="BE42" s="211">
        <f t="shared" si="37"/>
        <v>62.369893540281673</v>
      </c>
      <c r="BF42" s="211">
        <f t="shared" si="37"/>
        <v>62.369893540281673</v>
      </c>
      <c r="BG42" s="211">
        <f t="shared" si="37"/>
        <v>62.369893540281673</v>
      </c>
      <c r="BH42" s="211">
        <f t="shared" si="37"/>
        <v>62.369893540281673</v>
      </c>
      <c r="BI42" s="211">
        <f t="shared" si="37"/>
        <v>62.369893540281673</v>
      </c>
      <c r="BJ42" s="211">
        <f t="shared" si="37"/>
        <v>62.369893540281673</v>
      </c>
      <c r="BK42" s="211">
        <f t="shared" si="37"/>
        <v>62.369893540281673</v>
      </c>
      <c r="BL42" s="211">
        <f t="shared" si="37"/>
        <v>55.798429497380909</v>
      </c>
      <c r="BM42" s="211">
        <f t="shared" si="37"/>
        <v>55.798429497380909</v>
      </c>
      <c r="BN42" s="211">
        <f t="shared" si="37"/>
        <v>55.798429497380909</v>
      </c>
      <c r="BO42" s="211">
        <f t="shared" si="37"/>
        <v>55.798429497380909</v>
      </c>
      <c r="BP42" s="211">
        <f t="shared" si="37"/>
        <v>55.798429497380909</v>
      </c>
      <c r="BQ42" s="211">
        <f t="shared" si="37"/>
        <v>55.798429497380909</v>
      </c>
      <c r="BR42" s="211">
        <f t="shared" ref="BR42:DA42" si="38">IF(BR$22&lt;=$E$24,IF(BR$22&lt;=$D$24,IF(BR$22&lt;=$C$24,IF(BR$22&lt;=$B$24,$B108,($C25-$B25)/($C$24-$B$24)),($D25-$C25)/($D$24-$C$24)),($E25-$D25)/($E$24-$D$24)),$F108)</f>
        <v>55.798429497380909</v>
      </c>
      <c r="BS42" s="211">
        <f t="shared" si="38"/>
        <v>55.798429497380909</v>
      </c>
      <c r="BT42" s="211">
        <f t="shared" si="38"/>
        <v>55.798429497380909</v>
      </c>
      <c r="BU42" s="211">
        <f t="shared" si="38"/>
        <v>55.798429497380909</v>
      </c>
      <c r="BV42" s="211">
        <f t="shared" si="38"/>
        <v>55.798429497380909</v>
      </c>
      <c r="BW42" s="211">
        <f t="shared" si="38"/>
        <v>55.798429497380909</v>
      </c>
      <c r="BX42" s="211">
        <f t="shared" si="38"/>
        <v>55.798429497380909</v>
      </c>
      <c r="BY42" s="211">
        <f t="shared" si="38"/>
        <v>55.798429497380909</v>
      </c>
      <c r="BZ42" s="211">
        <f t="shared" si="38"/>
        <v>55.798429497380909</v>
      </c>
      <c r="CA42" s="211">
        <f t="shared" si="38"/>
        <v>55.798429497380909</v>
      </c>
      <c r="CB42" s="211">
        <f t="shared" si="38"/>
        <v>55.798429497380909</v>
      </c>
      <c r="CC42" s="211">
        <f t="shared" si="38"/>
        <v>55.798429497380909</v>
      </c>
      <c r="CD42" s="211">
        <f t="shared" si="38"/>
        <v>55.798429497380909</v>
      </c>
      <c r="CE42" s="211">
        <f t="shared" si="38"/>
        <v>55.798429497380909</v>
      </c>
      <c r="CF42" s="211">
        <f t="shared" si="38"/>
        <v>55.798429497380909</v>
      </c>
      <c r="CG42" s="211">
        <f t="shared" si="38"/>
        <v>55.798429497380909</v>
      </c>
      <c r="CH42" s="211">
        <f t="shared" si="38"/>
        <v>55.798429497380909</v>
      </c>
      <c r="CI42" s="211">
        <f t="shared" si="38"/>
        <v>55.798429497380909</v>
      </c>
      <c r="CJ42" s="211">
        <f t="shared" si="38"/>
        <v>55.798429497380909</v>
      </c>
      <c r="CK42" s="211">
        <f t="shared" si="38"/>
        <v>55.798429497380909</v>
      </c>
      <c r="CL42" s="211">
        <f t="shared" si="38"/>
        <v>-12.343999984408548</v>
      </c>
      <c r="CM42" s="211">
        <f t="shared" si="38"/>
        <v>-12.343999984408548</v>
      </c>
      <c r="CN42" s="211">
        <f t="shared" si="38"/>
        <v>-12.343999984408548</v>
      </c>
      <c r="CO42" s="211">
        <f t="shared" si="38"/>
        <v>-12.343999984408548</v>
      </c>
      <c r="CP42" s="211">
        <f t="shared" si="38"/>
        <v>-12.343999984408548</v>
      </c>
      <c r="CQ42" s="211">
        <f t="shared" si="38"/>
        <v>-12.343999984408548</v>
      </c>
      <c r="CR42" s="211">
        <f t="shared" si="38"/>
        <v>-12.343999984408548</v>
      </c>
      <c r="CS42" s="211">
        <f t="shared" si="38"/>
        <v>-12.343999984408548</v>
      </c>
      <c r="CT42" s="211">
        <f t="shared" si="38"/>
        <v>-12.343999984408548</v>
      </c>
      <c r="CU42" s="211">
        <f t="shared" si="38"/>
        <v>-12.343999984408548</v>
      </c>
      <c r="CV42" s="211">
        <f t="shared" si="38"/>
        <v>-12.343999984408548</v>
      </c>
      <c r="CW42" s="211">
        <f t="shared" si="38"/>
        <v>-12.343999984408548</v>
      </c>
      <c r="CX42" s="211">
        <f t="shared" si="38"/>
        <v>-12.343999984408548</v>
      </c>
      <c r="CY42" s="211">
        <f t="shared" si="38"/>
        <v>106.36000000000007</v>
      </c>
      <c r="CZ42" s="211">
        <f t="shared" si="38"/>
        <v>106.36000000000007</v>
      </c>
      <c r="DA42" s="211">
        <f t="shared" si="38"/>
        <v>106.36000000000007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0</v>
      </c>
      <c r="AB43" s="211">
        <f t="shared" si="39"/>
        <v>0</v>
      </c>
      <c r="AC43" s="211">
        <f t="shared" si="39"/>
        <v>0</v>
      </c>
      <c r="AD43" s="211">
        <f t="shared" si="39"/>
        <v>0</v>
      </c>
      <c r="AE43" s="211">
        <f t="shared" si="39"/>
        <v>0</v>
      </c>
      <c r="AF43" s="211">
        <f t="shared" si="39"/>
        <v>0</v>
      </c>
      <c r="AG43" s="211">
        <f t="shared" si="39"/>
        <v>0</v>
      </c>
      <c r="AH43" s="211">
        <f t="shared" si="39"/>
        <v>0</v>
      </c>
      <c r="AI43" s="211">
        <f t="shared" si="39"/>
        <v>0</v>
      </c>
      <c r="AJ43" s="211">
        <f t="shared" si="39"/>
        <v>0</v>
      </c>
      <c r="AK43" s="211">
        <f t="shared" si="39"/>
        <v>0</v>
      </c>
      <c r="AL43" s="211">
        <f t="shared" ref="AL43:BQ43" si="40">IF(AL$22&lt;=$E$24,IF(AL$22&lt;=$D$24,IF(AL$22&lt;=$C$24,IF(AL$22&lt;=$B$24,$B109,($C26-$B26)/($C$24-$B$24)),($D26-$C26)/($D$24-$C$24)),($E26-$D26)/($E$24-$D$24)),$F109)</f>
        <v>0</v>
      </c>
      <c r="AM43" s="211">
        <f t="shared" si="40"/>
        <v>0</v>
      </c>
      <c r="AN43" s="211">
        <f t="shared" si="40"/>
        <v>0</v>
      </c>
      <c r="AO43" s="211">
        <f t="shared" si="40"/>
        <v>0</v>
      </c>
      <c r="AP43" s="211">
        <f t="shared" si="40"/>
        <v>0</v>
      </c>
      <c r="AQ43" s="211">
        <f t="shared" si="40"/>
        <v>0</v>
      </c>
      <c r="AR43" s="211">
        <f t="shared" si="40"/>
        <v>0</v>
      </c>
      <c r="AS43" s="211">
        <f t="shared" si="40"/>
        <v>0</v>
      </c>
      <c r="AT43" s="211">
        <f t="shared" si="40"/>
        <v>0</v>
      </c>
      <c r="AU43" s="211">
        <f t="shared" si="40"/>
        <v>0</v>
      </c>
      <c r="AV43" s="211">
        <f t="shared" si="40"/>
        <v>0</v>
      </c>
      <c r="AW43" s="211">
        <f t="shared" si="40"/>
        <v>0</v>
      </c>
      <c r="AX43" s="211">
        <f t="shared" si="40"/>
        <v>0</v>
      </c>
      <c r="AY43" s="211">
        <f t="shared" si="40"/>
        <v>0</v>
      </c>
      <c r="AZ43" s="211">
        <f t="shared" si="40"/>
        <v>0</v>
      </c>
      <c r="BA43" s="211">
        <f t="shared" si="40"/>
        <v>0</v>
      </c>
      <c r="BB43" s="211">
        <f t="shared" si="40"/>
        <v>0</v>
      </c>
      <c r="BC43" s="211">
        <f t="shared" si="40"/>
        <v>0</v>
      </c>
      <c r="BD43" s="211">
        <f t="shared" si="40"/>
        <v>0</v>
      </c>
      <c r="BE43" s="211">
        <f t="shared" si="40"/>
        <v>0</v>
      </c>
      <c r="BF43" s="211">
        <f t="shared" si="40"/>
        <v>0</v>
      </c>
      <c r="BG43" s="211">
        <f t="shared" si="40"/>
        <v>0</v>
      </c>
      <c r="BH43" s="211">
        <f t="shared" si="40"/>
        <v>0</v>
      </c>
      <c r="BI43" s="211">
        <f t="shared" si="40"/>
        <v>0</v>
      </c>
      <c r="BJ43" s="211">
        <f t="shared" si="40"/>
        <v>0</v>
      </c>
      <c r="BK43" s="211">
        <f t="shared" si="40"/>
        <v>0</v>
      </c>
      <c r="BL43" s="211">
        <f t="shared" si="40"/>
        <v>0</v>
      </c>
      <c r="BM43" s="211">
        <f t="shared" si="40"/>
        <v>0</v>
      </c>
      <c r="BN43" s="211">
        <f t="shared" si="40"/>
        <v>0</v>
      </c>
      <c r="BO43" s="211">
        <f t="shared" si="40"/>
        <v>0</v>
      </c>
      <c r="BP43" s="211">
        <f t="shared" si="40"/>
        <v>0</v>
      </c>
      <c r="BQ43" s="211">
        <f t="shared" si="40"/>
        <v>0</v>
      </c>
      <c r="BR43" s="211">
        <f t="shared" ref="BR43:DA43" si="41">IF(BR$22&lt;=$E$24,IF(BR$22&lt;=$D$24,IF(BR$22&lt;=$C$24,IF(BR$22&lt;=$B$24,$B109,($C26-$B26)/($C$24-$B$24)),($D26-$C26)/($D$24-$C$24)),($E26-$D26)/($E$24-$D$24)),$F109)</f>
        <v>0</v>
      </c>
      <c r="BS43" s="211">
        <f t="shared" si="41"/>
        <v>0</v>
      </c>
      <c r="BT43" s="211">
        <f t="shared" si="41"/>
        <v>0</v>
      </c>
      <c r="BU43" s="211">
        <f t="shared" si="41"/>
        <v>0</v>
      </c>
      <c r="BV43" s="211">
        <f t="shared" si="41"/>
        <v>0</v>
      </c>
      <c r="BW43" s="211">
        <f t="shared" si="41"/>
        <v>0</v>
      </c>
      <c r="BX43" s="211">
        <f t="shared" si="41"/>
        <v>0</v>
      </c>
      <c r="BY43" s="211">
        <f t="shared" si="41"/>
        <v>0</v>
      </c>
      <c r="BZ43" s="211">
        <f t="shared" si="41"/>
        <v>0</v>
      </c>
      <c r="CA43" s="211">
        <f t="shared" si="41"/>
        <v>0</v>
      </c>
      <c r="CB43" s="211">
        <f t="shared" si="41"/>
        <v>0</v>
      </c>
      <c r="CC43" s="211">
        <f t="shared" si="41"/>
        <v>0</v>
      </c>
      <c r="CD43" s="211">
        <f t="shared" si="41"/>
        <v>0</v>
      </c>
      <c r="CE43" s="211">
        <f t="shared" si="41"/>
        <v>0</v>
      </c>
      <c r="CF43" s="211">
        <f t="shared" si="41"/>
        <v>0</v>
      </c>
      <c r="CG43" s="211">
        <f t="shared" si="41"/>
        <v>0</v>
      </c>
      <c r="CH43" s="211">
        <f t="shared" si="41"/>
        <v>0</v>
      </c>
      <c r="CI43" s="211">
        <f t="shared" si="41"/>
        <v>0</v>
      </c>
      <c r="CJ43" s="211">
        <f t="shared" si="41"/>
        <v>0</v>
      </c>
      <c r="CK43" s="211">
        <f t="shared" si="41"/>
        <v>0</v>
      </c>
      <c r="CL43" s="211">
        <f t="shared" si="41"/>
        <v>372.18461538461537</v>
      </c>
      <c r="CM43" s="211">
        <f t="shared" si="41"/>
        <v>372.18461538461537</v>
      </c>
      <c r="CN43" s="211">
        <f t="shared" si="41"/>
        <v>372.18461538461537</v>
      </c>
      <c r="CO43" s="211">
        <f t="shared" si="41"/>
        <v>372.18461538461537</v>
      </c>
      <c r="CP43" s="211">
        <f t="shared" si="41"/>
        <v>372.18461538461537</v>
      </c>
      <c r="CQ43" s="211">
        <f t="shared" si="41"/>
        <v>372.18461538461537</v>
      </c>
      <c r="CR43" s="211">
        <f t="shared" si="41"/>
        <v>372.18461538461537</v>
      </c>
      <c r="CS43" s="211">
        <f t="shared" si="41"/>
        <v>372.18461538461537</v>
      </c>
      <c r="CT43" s="211">
        <f t="shared" si="41"/>
        <v>372.18461538461537</v>
      </c>
      <c r="CU43" s="211">
        <f t="shared" si="41"/>
        <v>372.18461538461537</v>
      </c>
      <c r="CV43" s="211">
        <f t="shared" si="41"/>
        <v>372.18461538461537</v>
      </c>
      <c r="CW43" s="211">
        <f t="shared" si="41"/>
        <v>372.18461538461537</v>
      </c>
      <c r="CX43" s="211">
        <f t="shared" si="41"/>
        <v>372.18461538461537</v>
      </c>
      <c r="CY43" s="211">
        <f t="shared" si="41"/>
        <v>724.86000000000013</v>
      </c>
      <c r="CZ43" s="211">
        <f t="shared" si="41"/>
        <v>724.86000000000013</v>
      </c>
      <c r="DA43" s="211">
        <f t="shared" si="41"/>
        <v>724.86000000000013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4.5100619424382042</v>
      </c>
      <c r="AB44" s="211">
        <f t="shared" si="42"/>
        <v>4.5100619424382042</v>
      </c>
      <c r="AC44" s="211">
        <f t="shared" si="42"/>
        <v>4.5100619424382042</v>
      </c>
      <c r="AD44" s="211">
        <f t="shared" si="42"/>
        <v>4.5100619424382042</v>
      </c>
      <c r="AE44" s="211">
        <f t="shared" si="42"/>
        <v>4.5100619424382042</v>
      </c>
      <c r="AF44" s="211">
        <f t="shared" si="42"/>
        <v>4.5100619424382042</v>
      </c>
      <c r="AG44" s="211">
        <f t="shared" si="42"/>
        <v>4.5100619424382042</v>
      </c>
      <c r="AH44" s="211">
        <f t="shared" si="42"/>
        <v>4.5100619424382042</v>
      </c>
      <c r="AI44" s="211">
        <f t="shared" si="42"/>
        <v>4.5100619424382042</v>
      </c>
      <c r="AJ44" s="211">
        <f t="shared" si="42"/>
        <v>4.5100619424382042</v>
      </c>
      <c r="AK44" s="211">
        <f t="shared" si="42"/>
        <v>4.5100619424382042</v>
      </c>
      <c r="AL44" s="211">
        <f t="shared" ref="AL44:BQ44" si="43">IF(AL$22&lt;=$E$24,IF(AL$22&lt;=$D$24,IF(AL$22&lt;=$C$24,IF(AL$22&lt;=$B$24,$B110,($C27-$B27)/($C$24-$B$24)),($D27-$C27)/($D$24-$C$24)),($E27-$D27)/($E$24-$D$24)),$F110)</f>
        <v>4.5100619424382042</v>
      </c>
      <c r="AM44" s="211">
        <f t="shared" si="43"/>
        <v>4.5100619424382042</v>
      </c>
      <c r="AN44" s="211">
        <f t="shared" si="43"/>
        <v>4.5100619424382042</v>
      </c>
      <c r="AO44" s="211">
        <f t="shared" si="43"/>
        <v>4.5100619424382042</v>
      </c>
      <c r="AP44" s="211">
        <f t="shared" si="43"/>
        <v>4.5100619424382042</v>
      </c>
      <c r="AQ44" s="211">
        <f t="shared" si="43"/>
        <v>4.5100619424382042</v>
      </c>
      <c r="AR44" s="211">
        <f t="shared" si="43"/>
        <v>4.5100619424382042</v>
      </c>
      <c r="AS44" s="211">
        <f t="shared" si="43"/>
        <v>4.5100619424382042</v>
      </c>
      <c r="AT44" s="211">
        <f t="shared" si="43"/>
        <v>4.5100619424382042</v>
      </c>
      <c r="AU44" s="211">
        <f t="shared" si="43"/>
        <v>4.5100619424382042</v>
      </c>
      <c r="AV44" s="211">
        <f t="shared" si="43"/>
        <v>4.5100619424382042</v>
      </c>
      <c r="AW44" s="211">
        <f t="shared" si="43"/>
        <v>4.5100619424382042</v>
      </c>
      <c r="AX44" s="211">
        <f t="shared" si="43"/>
        <v>4.5100619424382042</v>
      </c>
      <c r="AY44" s="211">
        <f t="shared" si="43"/>
        <v>4.5100619424382042</v>
      </c>
      <c r="AZ44" s="211">
        <f t="shared" si="43"/>
        <v>4.5100619424382042</v>
      </c>
      <c r="BA44" s="211">
        <f t="shared" si="43"/>
        <v>4.5100619424382042</v>
      </c>
      <c r="BB44" s="211">
        <f t="shared" si="43"/>
        <v>4.5100619424382042</v>
      </c>
      <c r="BC44" s="211">
        <f t="shared" si="43"/>
        <v>4.5100619424382042</v>
      </c>
      <c r="BD44" s="211">
        <f t="shared" si="43"/>
        <v>4.5100619424382042</v>
      </c>
      <c r="BE44" s="211">
        <f t="shared" si="43"/>
        <v>4.5100619424382042</v>
      </c>
      <c r="BF44" s="211">
        <f t="shared" si="43"/>
        <v>4.5100619424382042</v>
      </c>
      <c r="BG44" s="211">
        <f t="shared" si="43"/>
        <v>4.5100619424382042</v>
      </c>
      <c r="BH44" s="211">
        <f t="shared" si="43"/>
        <v>4.5100619424382042</v>
      </c>
      <c r="BI44" s="211">
        <f t="shared" si="43"/>
        <v>4.5100619424382042</v>
      </c>
      <c r="BJ44" s="211">
        <f t="shared" si="43"/>
        <v>4.5100619424382042</v>
      </c>
      <c r="BK44" s="211">
        <f t="shared" si="43"/>
        <v>4.5100619424382042</v>
      </c>
      <c r="BL44" s="211">
        <f t="shared" si="43"/>
        <v>10.717056238230525</v>
      </c>
      <c r="BM44" s="211">
        <f t="shared" si="43"/>
        <v>10.717056238230525</v>
      </c>
      <c r="BN44" s="211">
        <f t="shared" si="43"/>
        <v>10.717056238230525</v>
      </c>
      <c r="BO44" s="211">
        <f t="shared" si="43"/>
        <v>10.717056238230525</v>
      </c>
      <c r="BP44" s="211">
        <f t="shared" si="43"/>
        <v>10.717056238230525</v>
      </c>
      <c r="BQ44" s="211">
        <f t="shared" si="43"/>
        <v>10.717056238230525</v>
      </c>
      <c r="BR44" s="211">
        <f t="shared" ref="BR44:DA44" si="44">IF(BR$22&lt;=$E$24,IF(BR$22&lt;=$D$24,IF(BR$22&lt;=$C$24,IF(BR$22&lt;=$B$24,$B110,($C27-$B27)/($C$24-$B$24)),($D27-$C27)/($D$24-$C$24)),($E27-$D27)/($E$24-$D$24)),$F110)</f>
        <v>10.717056238230525</v>
      </c>
      <c r="BS44" s="211">
        <f t="shared" si="44"/>
        <v>10.717056238230525</v>
      </c>
      <c r="BT44" s="211">
        <f t="shared" si="44"/>
        <v>10.717056238230525</v>
      </c>
      <c r="BU44" s="211">
        <f t="shared" si="44"/>
        <v>10.717056238230525</v>
      </c>
      <c r="BV44" s="211">
        <f t="shared" si="44"/>
        <v>10.717056238230525</v>
      </c>
      <c r="BW44" s="211">
        <f t="shared" si="44"/>
        <v>10.717056238230525</v>
      </c>
      <c r="BX44" s="211">
        <f t="shared" si="44"/>
        <v>10.717056238230525</v>
      </c>
      <c r="BY44" s="211">
        <f t="shared" si="44"/>
        <v>10.717056238230525</v>
      </c>
      <c r="BZ44" s="211">
        <f t="shared" si="44"/>
        <v>10.717056238230525</v>
      </c>
      <c r="CA44" s="211">
        <f t="shared" si="44"/>
        <v>10.717056238230525</v>
      </c>
      <c r="CB44" s="211">
        <f t="shared" si="44"/>
        <v>10.717056238230525</v>
      </c>
      <c r="CC44" s="211">
        <f t="shared" si="44"/>
        <v>10.717056238230525</v>
      </c>
      <c r="CD44" s="211">
        <f t="shared" si="44"/>
        <v>10.717056238230525</v>
      </c>
      <c r="CE44" s="211">
        <f t="shared" si="44"/>
        <v>10.717056238230525</v>
      </c>
      <c r="CF44" s="211">
        <f t="shared" si="44"/>
        <v>10.717056238230525</v>
      </c>
      <c r="CG44" s="211">
        <f t="shared" si="44"/>
        <v>10.717056238230525</v>
      </c>
      <c r="CH44" s="211">
        <f t="shared" si="44"/>
        <v>10.717056238230525</v>
      </c>
      <c r="CI44" s="211">
        <f t="shared" si="44"/>
        <v>10.717056238230525</v>
      </c>
      <c r="CJ44" s="211">
        <f t="shared" si="44"/>
        <v>10.717056238230525</v>
      </c>
      <c r="CK44" s="211">
        <f t="shared" si="44"/>
        <v>10.717056238230525</v>
      </c>
      <c r="CL44" s="211">
        <f t="shared" si="44"/>
        <v>69.518905896178438</v>
      </c>
      <c r="CM44" s="211">
        <f t="shared" si="44"/>
        <v>69.518905896178438</v>
      </c>
      <c r="CN44" s="211">
        <f t="shared" si="44"/>
        <v>69.518905896178438</v>
      </c>
      <c r="CO44" s="211">
        <f t="shared" si="44"/>
        <v>69.518905896178438</v>
      </c>
      <c r="CP44" s="211">
        <f t="shared" si="44"/>
        <v>69.518905896178438</v>
      </c>
      <c r="CQ44" s="211">
        <f t="shared" si="44"/>
        <v>69.518905896178438</v>
      </c>
      <c r="CR44" s="211">
        <f t="shared" si="44"/>
        <v>69.518905896178438</v>
      </c>
      <c r="CS44" s="211">
        <f t="shared" si="44"/>
        <v>69.518905896178438</v>
      </c>
      <c r="CT44" s="211">
        <f t="shared" si="44"/>
        <v>69.518905896178438</v>
      </c>
      <c r="CU44" s="211">
        <f t="shared" si="44"/>
        <v>69.518905896178438</v>
      </c>
      <c r="CV44" s="211">
        <f t="shared" si="44"/>
        <v>69.518905896178438</v>
      </c>
      <c r="CW44" s="211">
        <f t="shared" si="44"/>
        <v>69.518905896178438</v>
      </c>
      <c r="CX44" s="211">
        <f t="shared" si="44"/>
        <v>69.518905896178438</v>
      </c>
      <c r="CY44" s="211">
        <f t="shared" si="44"/>
        <v>8.4310000000000009</v>
      </c>
      <c r="CZ44" s="211">
        <f t="shared" si="44"/>
        <v>8.4310000000000009</v>
      </c>
      <c r="DA44" s="211">
        <f t="shared" si="44"/>
        <v>8.4310000000000009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109.88108108108108</v>
      </c>
      <c r="AB46" s="211">
        <f t="shared" si="48"/>
        <v>109.88108108108108</v>
      </c>
      <c r="AC46" s="211">
        <f t="shared" si="48"/>
        <v>109.88108108108108</v>
      </c>
      <c r="AD46" s="211">
        <f t="shared" si="48"/>
        <v>109.88108108108108</v>
      </c>
      <c r="AE46" s="211">
        <f t="shared" si="48"/>
        <v>109.88108108108108</v>
      </c>
      <c r="AF46" s="211">
        <f t="shared" si="48"/>
        <v>109.88108108108108</v>
      </c>
      <c r="AG46" s="211">
        <f t="shared" si="48"/>
        <v>109.88108108108108</v>
      </c>
      <c r="AH46" s="211">
        <f t="shared" si="48"/>
        <v>109.88108108108108</v>
      </c>
      <c r="AI46" s="211">
        <f t="shared" si="48"/>
        <v>109.88108108108108</v>
      </c>
      <c r="AJ46" s="211">
        <f t="shared" si="48"/>
        <v>109.88108108108108</v>
      </c>
      <c r="AK46" s="211">
        <f t="shared" si="48"/>
        <v>109.88108108108108</v>
      </c>
      <c r="AL46" s="211">
        <f t="shared" ref="AL46:BQ46" si="49">IF(AL$22&lt;=$E$24,IF(AL$22&lt;=$D$24,IF(AL$22&lt;=$C$24,IF(AL$22&lt;=$B$24,$B112,($C29-$B29)/($C$24-$B$24)),($D29-$C29)/($D$24-$C$24)),($E29-$D29)/($E$24-$D$24)),$F112)</f>
        <v>109.88108108108108</v>
      </c>
      <c r="AM46" s="211">
        <f t="shared" si="49"/>
        <v>109.88108108108108</v>
      </c>
      <c r="AN46" s="211">
        <f t="shared" si="49"/>
        <v>109.88108108108108</v>
      </c>
      <c r="AO46" s="211">
        <f t="shared" si="49"/>
        <v>109.88108108108108</v>
      </c>
      <c r="AP46" s="211">
        <f t="shared" si="49"/>
        <v>109.88108108108108</v>
      </c>
      <c r="AQ46" s="211">
        <f t="shared" si="49"/>
        <v>109.88108108108108</v>
      </c>
      <c r="AR46" s="211">
        <f t="shared" si="49"/>
        <v>109.88108108108108</v>
      </c>
      <c r="AS46" s="211">
        <f t="shared" si="49"/>
        <v>109.88108108108108</v>
      </c>
      <c r="AT46" s="211">
        <f t="shared" si="49"/>
        <v>109.88108108108108</v>
      </c>
      <c r="AU46" s="211">
        <f t="shared" si="49"/>
        <v>109.88108108108108</v>
      </c>
      <c r="AV46" s="211">
        <f t="shared" si="49"/>
        <v>109.88108108108108</v>
      </c>
      <c r="AW46" s="211">
        <f t="shared" si="49"/>
        <v>109.88108108108108</v>
      </c>
      <c r="AX46" s="211">
        <f t="shared" si="49"/>
        <v>109.88108108108108</v>
      </c>
      <c r="AY46" s="211">
        <f t="shared" si="49"/>
        <v>109.88108108108108</v>
      </c>
      <c r="AZ46" s="211">
        <f t="shared" si="49"/>
        <v>109.88108108108108</v>
      </c>
      <c r="BA46" s="211">
        <f t="shared" si="49"/>
        <v>109.88108108108108</v>
      </c>
      <c r="BB46" s="211">
        <f t="shared" si="49"/>
        <v>109.88108108108108</v>
      </c>
      <c r="BC46" s="211">
        <f t="shared" si="49"/>
        <v>109.88108108108108</v>
      </c>
      <c r="BD46" s="211">
        <f t="shared" si="49"/>
        <v>109.88108108108108</v>
      </c>
      <c r="BE46" s="211">
        <f t="shared" si="49"/>
        <v>109.88108108108108</v>
      </c>
      <c r="BF46" s="211">
        <f t="shared" si="49"/>
        <v>109.88108108108108</v>
      </c>
      <c r="BG46" s="211">
        <f t="shared" si="49"/>
        <v>109.88108108108108</v>
      </c>
      <c r="BH46" s="211">
        <f t="shared" si="49"/>
        <v>109.88108108108108</v>
      </c>
      <c r="BI46" s="211">
        <f t="shared" si="49"/>
        <v>109.88108108108108</v>
      </c>
      <c r="BJ46" s="211">
        <f t="shared" si="49"/>
        <v>109.88108108108108</v>
      </c>
      <c r="BK46" s="211">
        <f t="shared" si="49"/>
        <v>109.88108108108108</v>
      </c>
      <c r="BL46" s="211">
        <f t="shared" si="49"/>
        <v>300.2461538461539</v>
      </c>
      <c r="BM46" s="211">
        <f t="shared" si="49"/>
        <v>300.2461538461539</v>
      </c>
      <c r="BN46" s="211">
        <f t="shared" si="49"/>
        <v>300.2461538461539</v>
      </c>
      <c r="BO46" s="211">
        <f t="shared" si="49"/>
        <v>300.2461538461539</v>
      </c>
      <c r="BP46" s="211">
        <f t="shared" si="49"/>
        <v>300.2461538461539</v>
      </c>
      <c r="BQ46" s="211">
        <f t="shared" si="49"/>
        <v>300.2461538461539</v>
      </c>
      <c r="BR46" s="211">
        <f t="shared" ref="BR46:DA46" si="50">IF(BR$22&lt;=$E$24,IF(BR$22&lt;=$D$24,IF(BR$22&lt;=$C$24,IF(BR$22&lt;=$B$24,$B112,($C29-$B29)/($C$24-$B$24)),($D29-$C29)/($D$24-$C$24)),($E29-$D29)/($E$24-$D$24)),$F112)</f>
        <v>300.2461538461539</v>
      </c>
      <c r="BS46" s="211">
        <f t="shared" si="50"/>
        <v>300.2461538461539</v>
      </c>
      <c r="BT46" s="211">
        <f t="shared" si="50"/>
        <v>300.2461538461539</v>
      </c>
      <c r="BU46" s="211">
        <f t="shared" si="50"/>
        <v>300.2461538461539</v>
      </c>
      <c r="BV46" s="211">
        <f t="shared" si="50"/>
        <v>300.2461538461539</v>
      </c>
      <c r="BW46" s="211">
        <f t="shared" si="50"/>
        <v>300.2461538461539</v>
      </c>
      <c r="BX46" s="211">
        <f t="shared" si="50"/>
        <v>300.2461538461539</v>
      </c>
      <c r="BY46" s="211">
        <f t="shared" si="50"/>
        <v>300.2461538461539</v>
      </c>
      <c r="BZ46" s="211">
        <f t="shared" si="50"/>
        <v>300.2461538461539</v>
      </c>
      <c r="CA46" s="211">
        <f t="shared" si="50"/>
        <v>300.2461538461539</v>
      </c>
      <c r="CB46" s="211">
        <f t="shared" si="50"/>
        <v>300.2461538461539</v>
      </c>
      <c r="CC46" s="211">
        <f t="shared" si="50"/>
        <v>300.2461538461539</v>
      </c>
      <c r="CD46" s="211">
        <f t="shared" si="50"/>
        <v>300.2461538461539</v>
      </c>
      <c r="CE46" s="211">
        <f t="shared" si="50"/>
        <v>300.2461538461539</v>
      </c>
      <c r="CF46" s="211">
        <f t="shared" si="50"/>
        <v>300.2461538461539</v>
      </c>
      <c r="CG46" s="211">
        <f t="shared" si="50"/>
        <v>300.2461538461539</v>
      </c>
      <c r="CH46" s="211">
        <f t="shared" si="50"/>
        <v>300.2461538461539</v>
      </c>
      <c r="CI46" s="211">
        <f t="shared" si="50"/>
        <v>300.2461538461539</v>
      </c>
      <c r="CJ46" s="211">
        <f t="shared" si="50"/>
        <v>300.2461538461539</v>
      </c>
      <c r="CK46" s="211">
        <f t="shared" si="50"/>
        <v>300.2461538461539</v>
      </c>
      <c r="CL46" s="211">
        <f t="shared" si="50"/>
        <v>906.33846153846184</v>
      </c>
      <c r="CM46" s="211">
        <f t="shared" si="50"/>
        <v>906.33846153846184</v>
      </c>
      <c r="CN46" s="211">
        <f t="shared" si="50"/>
        <v>906.33846153846184</v>
      </c>
      <c r="CO46" s="211">
        <f t="shared" si="50"/>
        <v>906.33846153846184</v>
      </c>
      <c r="CP46" s="211">
        <f t="shared" si="50"/>
        <v>906.33846153846184</v>
      </c>
      <c r="CQ46" s="211">
        <f t="shared" si="50"/>
        <v>906.33846153846184</v>
      </c>
      <c r="CR46" s="211">
        <f t="shared" si="50"/>
        <v>906.33846153846184</v>
      </c>
      <c r="CS46" s="211">
        <f t="shared" si="50"/>
        <v>906.33846153846184</v>
      </c>
      <c r="CT46" s="211">
        <f t="shared" si="50"/>
        <v>906.33846153846184</v>
      </c>
      <c r="CU46" s="211">
        <f t="shared" si="50"/>
        <v>906.33846153846184</v>
      </c>
      <c r="CV46" s="211">
        <f t="shared" si="50"/>
        <v>906.33846153846184</v>
      </c>
      <c r="CW46" s="211">
        <f t="shared" si="50"/>
        <v>906.33846153846184</v>
      </c>
      <c r="CX46" s="211">
        <f t="shared" si="50"/>
        <v>906.33846153846184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0</v>
      </c>
      <c r="AB47" s="211">
        <f t="shared" si="51"/>
        <v>0</v>
      </c>
      <c r="AC47" s="211">
        <f t="shared" si="51"/>
        <v>0</v>
      </c>
      <c r="AD47" s="211">
        <f t="shared" si="51"/>
        <v>0</v>
      </c>
      <c r="AE47" s="211">
        <f t="shared" si="51"/>
        <v>0</v>
      </c>
      <c r="AF47" s="211">
        <f t="shared" si="51"/>
        <v>0</v>
      </c>
      <c r="AG47" s="211">
        <f t="shared" si="51"/>
        <v>0</v>
      </c>
      <c r="AH47" s="211">
        <f t="shared" si="51"/>
        <v>0</v>
      </c>
      <c r="AI47" s="211">
        <f t="shared" si="51"/>
        <v>0</v>
      </c>
      <c r="AJ47" s="211">
        <f t="shared" si="51"/>
        <v>0</v>
      </c>
      <c r="AK47" s="211">
        <f t="shared" si="51"/>
        <v>0</v>
      </c>
      <c r="AL47" s="211">
        <f t="shared" ref="AL47:BQ47" si="52">IF(AL$22&lt;=$E$24,IF(AL$22&lt;=$D$24,IF(AL$22&lt;=$C$24,IF(AL$22&lt;=$B$24,$B113,($C30-$B30)/($C$24-$B$24)),($D30-$C30)/($D$24-$C$24)),($E30-$D30)/($E$24-$D$24)),$F113)</f>
        <v>0</v>
      </c>
      <c r="AM47" s="211">
        <f t="shared" si="52"/>
        <v>0</v>
      </c>
      <c r="AN47" s="211">
        <f t="shared" si="52"/>
        <v>0</v>
      </c>
      <c r="AO47" s="211">
        <f t="shared" si="52"/>
        <v>0</v>
      </c>
      <c r="AP47" s="211">
        <f t="shared" si="52"/>
        <v>0</v>
      </c>
      <c r="AQ47" s="211">
        <f t="shared" si="52"/>
        <v>0</v>
      </c>
      <c r="AR47" s="211">
        <f t="shared" si="52"/>
        <v>0</v>
      </c>
      <c r="AS47" s="211">
        <f t="shared" si="52"/>
        <v>0</v>
      </c>
      <c r="AT47" s="211">
        <f t="shared" si="52"/>
        <v>0</v>
      </c>
      <c r="AU47" s="211">
        <f t="shared" si="52"/>
        <v>0</v>
      </c>
      <c r="AV47" s="211">
        <f t="shared" si="52"/>
        <v>0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0</v>
      </c>
      <c r="BE47" s="211">
        <f t="shared" si="52"/>
        <v>0</v>
      </c>
      <c r="BF47" s="211">
        <f t="shared" si="52"/>
        <v>0</v>
      </c>
      <c r="BG47" s="211">
        <f t="shared" si="52"/>
        <v>0</v>
      </c>
      <c r="BH47" s="211">
        <f t="shared" si="52"/>
        <v>0</v>
      </c>
      <c r="BI47" s="211">
        <f t="shared" si="52"/>
        <v>0</v>
      </c>
      <c r="BJ47" s="211">
        <f t="shared" si="52"/>
        <v>0</v>
      </c>
      <c r="BK47" s="211">
        <f t="shared" si="52"/>
        <v>0</v>
      </c>
      <c r="BL47" s="211">
        <f t="shared" si="52"/>
        <v>0</v>
      </c>
      <c r="BM47" s="211">
        <f t="shared" si="52"/>
        <v>0</v>
      </c>
      <c r="BN47" s="211">
        <f t="shared" si="52"/>
        <v>0</v>
      </c>
      <c r="BO47" s="211">
        <f t="shared" si="52"/>
        <v>0</v>
      </c>
      <c r="BP47" s="211">
        <f t="shared" si="52"/>
        <v>0</v>
      </c>
      <c r="BQ47" s="211">
        <f t="shared" si="52"/>
        <v>0</v>
      </c>
      <c r="BR47" s="211">
        <f t="shared" ref="BR47:DA47" si="53">IF(BR$22&lt;=$E$24,IF(BR$22&lt;=$D$24,IF(BR$22&lt;=$C$24,IF(BR$22&lt;=$B$24,$B113,($C30-$B30)/($C$24-$B$24)),($D30-$C30)/($D$24-$C$24)),($E30-$D30)/($E$24-$D$24)),$F113)</f>
        <v>0</v>
      </c>
      <c r="BS47" s="211">
        <f t="shared" si="53"/>
        <v>0</v>
      </c>
      <c r="BT47" s="211">
        <f t="shared" si="53"/>
        <v>0</v>
      </c>
      <c r="BU47" s="211">
        <f t="shared" si="53"/>
        <v>0</v>
      </c>
      <c r="BV47" s="211">
        <f t="shared" si="53"/>
        <v>0</v>
      </c>
      <c r="BW47" s="211">
        <f t="shared" si="53"/>
        <v>0</v>
      </c>
      <c r="BX47" s="211">
        <f t="shared" si="53"/>
        <v>0</v>
      </c>
      <c r="BY47" s="211">
        <f t="shared" si="53"/>
        <v>0</v>
      </c>
      <c r="BZ47" s="211">
        <f t="shared" si="53"/>
        <v>0</v>
      </c>
      <c r="CA47" s="211">
        <f t="shared" si="53"/>
        <v>0</v>
      </c>
      <c r="CB47" s="211">
        <f t="shared" si="53"/>
        <v>0</v>
      </c>
      <c r="CC47" s="211">
        <f t="shared" si="53"/>
        <v>0</v>
      </c>
      <c r="CD47" s="211">
        <f t="shared" si="53"/>
        <v>0</v>
      </c>
      <c r="CE47" s="211">
        <f t="shared" si="53"/>
        <v>0</v>
      </c>
      <c r="CF47" s="211">
        <f t="shared" si="53"/>
        <v>0</v>
      </c>
      <c r="CG47" s="211">
        <f t="shared" si="53"/>
        <v>0</v>
      </c>
      <c r="CH47" s="211">
        <f t="shared" si="53"/>
        <v>0</v>
      </c>
      <c r="CI47" s="211">
        <f t="shared" si="53"/>
        <v>0</v>
      </c>
      <c r="CJ47" s="211">
        <f t="shared" si="53"/>
        <v>0</v>
      </c>
      <c r="CK47" s="211">
        <f t="shared" si="53"/>
        <v>0</v>
      </c>
      <c r="CL47" s="211">
        <f t="shared" si="53"/>
        <v>0</v>
      </c>
      <c r="CM47" s="211">
        <f t="shared" si="53"/>
        <v>0</v>
      </c>
      <c r="CN47" s="211">
        <f t="shared" si="53"/>
        <v>0</v>
      </c>
      <c r="CO47" s="211">
        <f t="shared" si="53"/>
        <v>0</v>
      </c>
      <c r="CP47" s="211">
        <f t="shared" si="53"/>
        <v>0</v>
      </c>
      <c r="CQ47" s="211">
        <f t="shared" si="53"/>
        <v>0</v>
      </c>
      <c r="CR47" s="211">
        <f t="shared" si="53"/>
        <v>0</v>
      </c>
      <c r="CS47" s="211">
        <f t="shared" si="53"/>
        <v>0</v>
      </c>
      <c r="CT47" s="211">
        <f t="shared" si="53"/>
        <v>0</v>
      </c>
      <c r="CU47" s="211">
        <f t="shared" si="53"/>
        <v>0</v>
      </c>
      <c r="CV47" s="211">
        <f t="shared" si="53"/>
        <v>0</v>
      </c>
      <c r="CW47" s="211">
        <f t="shared" si="53"/>
        <v>0</v>
      </c>
      <c r="CX47" s="211">
        <f t="shared" si="53"/>
        <v>0</v>
      </c>
      <c r="CY47" s="211">
        <f t="shared" si="53"/>
        <v>52.189999999999884</v>
      </c>
      <c r="CZ47" s="211">
        <f t="shared" si="53"/>
        <v>52.189999999999884</v>
      </c>
      <c r="DA47" s="211">
        <f t="shared" si="53"/>
        <v>52.189999999999884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124.50162162162165</v>
      </c>
      <c r="AB48" s="211">
        <f t="shared" si="54"/>
        <v>124.50162162162165</v>
      </c>
      <c r="AC48" s="211">
        <f t="shared" si="54"/>
        <v>124.50162162162165</v>
      </c>
      <c r="AD48" s="211">
        <f t="shared" si="54"/>
        <v>124.50162162162165</v>
      </c>
      <c r="AE48" s="211">
        <f t="shared" si="54"/>
        <v>124.50162162162165</v>
      </c>
      <c r="AF48" s="211">
        <f t="shared" si="54"/>
        <v>124.50162162162165</v>
      </c>
      <c r="AG48" s="211">
        <f t="shared" si="54"/>
        <v>124.50162162162165</v>
      </c>
      <c r="AH48" s="211">
        <f t="shared" si="54"/>
        <v>124.50162162162165</v>
      </c>
      <c r="AI48" s="211">
        <f t="shared" si="54"/>
        <v>124.50162162162165</v>
      </c>
      <c r="AJ48" s="211">
        <f t="shared" si="54"/>
        <v>124.50162162162165</v>
      </c>
      <c r="AK48" s="211">
        <f t="shared" si="54"/>
        <v>124.50162162162165</v>
      </c>
      <c r="AL48" s="211">
        <f t="shared" ref="AL48:BQ48" si="55">IF(AL$22&lt;=$E$24,IF(AL$22&lt;=$D$24,IF(AL$22&lt;=$C$24,IF(AL$22&lt;=$B$24,$B114,($C31-$B31)/($C$24-$B$24)),($D31-$C31)/($D$24-$C$24)),($E31-$D31)/($E$24-$D$24)),$F114)</f>
        <v>124.50162162162165</v>
      </c>
      <c r="AM48" s="211">
        <f t="shared" si="55"/>
        <v>124.50162162162165</v>
      </c>
      <c r="AN48" s="211">
        <f t="shared" si="55"/>
        <v>124.50162162162165</v>
      </c>
      <c r="AO48" s="211">
        <f t="shared" si="55"/>
        <v>124.50162162162165</v>
      </c>
      <c r="AP48" s="211">
        <f t="shared" si="55"/>
        <v>124.50162162162165</v>
      </c>
      <c r="AQ48" s="211">
        <f t="shared" si="55"/>
        <v>124.50162162162165</v>
      </c>
      <c r="AR48" s="211">
        <f t="shared" si="55"/>
        <v>124.50162162162165</v>
      </c>
      <c r="AS48" s="211">
        <f t="shared" si="55"/>
        <v>124.50162162162165</v>
      </c>
      <c r="AT48" s="211">
        <f t="shared" si="55"/>
        <v>124.50162162162165</v>
      </c>
      <c r="AU48" s="211">
        <f t="shared" si="55"/>
        <v>124.50162162162165</v>
      </c>
      <c r="AV48" s="211">
        <f t="shared" si="55"/>
        <v>124.50162162162165</v>
      </c>
      <c r="AW48" s="211">
        <f t="shared" si="55"/>
        <v>124.50162162162165</v>
      </c>
      <c r="AX48" s="211">
        <f t="shared" si="55"/>
        <v>124.50162162162165</v>
      </c>
      <c r="AY48" s="211">
        <f t="shared" si="55"/>
        <v>124.50162162162165</v>
      </c>
      <c r="AZ48" s="211">
        <f t="shared" si="55"/>
        <v>124.50162162162165</v>
      </c>
      <c r="BA48" s="211">
        <f t="shared" si="55"/>
        <v>124.50162162162165</v>
      </c>
      <c r="BB48" s="211">
        <f t="shared" si="55"/>
        <v>124.50162162162165</v>
      </c>
      <c r="BC48" s="211">
        <f t="shared" si="55"/>
        <v>124.50162162162165</v>
      </c>
      <c r="BD48" s="211">
        <f t="shared" si="55"/>
        <v>124.50162162162165</v>
      </c>
      <c r="BE48" s="211">
        <f t="shared" si="55"/>
        <v>124.50162162162165</v>
      </c>
      <c r="BF48" s="211">
        <f t="shared" si="55"/>
        <v>124.50162162162165</v>
      </c>
      <c r="BG48" s="211">
        <f t="shared" si="55"/>
        <v>124.50162162162165</v>
      </c>
      <c r="BH48" s="211">
        <f t="shared" si="55"/>
        <v>124.50162162162165</v>
      </c>
      <c r="BI48" s="211">
        <f t="shared" si="55"/>
        <v>124.50162162162165</v>
      </c>
      <c r="BJ48" s="211">
        <f t="shared" si="55"/>
        <v>124.50162162162165</v>
      </c>
      <c r="BK48" s="211">
        <f t="shared" si="55"/>
        <v>124.50162162162165</v>
      </c>
      <c r="BL48" s="211">
        <f t="shared" si="55"/>
        <v>-524.03076923076935</v>
      </c>
      <c r="BM48" s="211">
        <f t="shared" si="55"/>
        <v>-524.03076923076935</v>
      </c>
      <c r="BN48" s="211">
        <f t="shared" si="55"/>
        <v>-524.03076923076935</v>
      </c>
      <c r="BO48" s="211">
        <f t="shared" si="55"/>
        <v>-524.03076923076935</v>
      </c>
      <c r="BP48" s="211">
        <f t="shared" si="55"/>
        <v>-524.03076923076935</v>
      </c>
      <c r="BQ48" s="211">
        <f t="shared" si="55"/>
        <v>-524.03076923076935</v>
      </c>
      <c r="BR48" s="211">
        <f t="shared" ref="BR48:DA48" si="56">IF(BR$22&lt;=$E$24,IF(BR$22&lt;=$D$24,IF(BR$22&lt;=$C$24,IF(BR$22&lt;=$B$24,$B114,($C31-$B31)/($C$24-$B$24)),($D31-$C31)/($D$24-$C$24)),($E31-$D31)/($E$24-$D$24)),$F114)</f>
        <v>-524.03076923076935</v>
      </c>
      <c r="BS48" s="211">
        <f t="shared" si="56"/>
        <v>-524.03076923076935</v>
      </c>
      <c r="BT48" s="211">
        <f t="shared" si="56"/>
        <v>-524.03076923076935</v>
      </c>
      <c r="BU48" s="211">
        <f t="shared" si="56"/>
        <v>-524.03076923076935</v>
      </c>
      <c r="BV48" s="211">
        <f t="shared" si="56"/>
        <v>-524.03076923076935</v>
      </c>
      <c r="BW48" s="211">
        <f t="shared" si="56"/>
        <v>-524.03076923076935</v>
      </c>
      <c r="BX48" s="211">
        <f t="shared" si="56"/>
        <v>-524.03076923076935</v>
      </c>
      <c r="BY48" s="211">
        <f t="shared" si="56"/>
        <v>-524.03076923076935</v>
      </c>
      <c r="BZ48" s="211">
        <f t="shared" si="56"/>
        <v>-524.03076923076935</v>
      </c>
      <c r="CA48" s="211">
        <f t="shared" si="56"/>
        <v>-524.03076923076935</v>
      </c>
      <c r="CB48" s="211">
        <f t="shared" si="56"/>
        <v>-524.03076923076935</v>
      </c>
      <c r="CC48" s="211">
        <f t="shared" si="56"/>
        <v>-524.03076923076935</v>
      </c>
      <c r="CD48" s="211">
        <f t="shared" si="56"/>
        <v>-524.03076923076935</v>
      </c>
      <c r="CE48" s="211">
        <f t="shared" si="56"/>
        <v>-524.03076923076935</v>
      </c>
      <c r="CF48" s="211">
        <f t="shared" si="56"/>
        <v>-524.03076923076935</v>
      </c>
      <c r="CG48" s="211">
        <f t="shared" si="56"/>
        <v>-524.03076923076935</v>
      </c>
      <c r="CH48" s="211">
        <f t="shared" si="56"/>
        <v>-524.03076923076935</v>
      </c>
      <c r="CI48" s="211">
        <f t="shared" si="56"/>
        <v>-524.03076923076935</v>
      </c>
      <c r="CJ48" s="211">
        <f t="shared" si="56"/>
        <v>-524.03076923076935</v>
      </c>
      <c r="CK48" s="211">
        <f t="shared" si="56"/>
        <v>-524.03076923076935</v>
      </c>
      <c r="CL48" s="211">
        <f t="shared" si="56"/>
        <v>-64.615384615384613</v>
      </c>
      <c r="CM48" s="211">
        <f t="shared" si="56"/>
        <v>-64.615384615384613</v>
      </c>
      <c r="CN48" s="211">
        <f t="shared" si="56"/>
        <v>-64.615384615384613</v>
      </c>
      <c r="CO48" s="211">
        <f t="shared" si="56"/>
        <v>-64.615384615384613</v>
      </c>
      <c r="CP48" s="211">
        <f t="shared" si="56"/>
        <v>-64.615384615384613</v>
      </c>
      <c r="CQ48" s="211">
        <f t="shared" si="56"/>
        <v>-64.615384615384613</v>
      </c>
      <c r="CR48" s="211">
        <f t="shared" si="56"/>
        <v>-64.615384615384613</v>
      </c>
      <c r="CS48" s="211">
        <f t="shared" si="56"/>
        <v>-64.615384615384613</v>
      </c>
      <c r="CT48" s="211">
        <f t="shared" si="56"/>
        <v>-64.615384615384613</v>
      </c>
      <c r="CU48" s="211">
        <f t="shared" si="56"/>
        <v>-64.615384615384613</v>
      </c>
      <c r="CV48" s="211">
        <f t="shared" si="56"/>
        <v>-64.615384615384613</v>
      </c>
      <c r="CW48" s="211">
        <f t="shared" si="56"/>
        <v>-64.615384615384613</v>
      </c>
      <c r="CX48" s="211">
        <f t="shared" si="56"/>
        <v>-64.615384615384613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0</v>
      </c>
      <c r="BE49" s="211">
        <f t="shared" si="58"/>
        <v>0</v>
      </c>
      <c r="BF49" s="211">
        <f t="shared" si="58"/>
        <v>0</v>
      </c>
      <c r="BG49" s="211">
        <f t="shared" si="58"/>
        <v>0</v>
      </c>
      <c r="BH49" s="211">
        <f t="shared" si="58"/>
        <v>0</v>
      </c>
      <c r="BI49" s="211">
        <f t="shared" si="58"/>
        <v>0</v>
      </c>
      <c r="BJ49" s="211">
        <f t="shared" si="58"/>
        <v>0</v>
      </c>
      <c r="BK49" s="211">
        <f t="shared" si="58"/>
        <v>0</v>
      </c>
      <c r="BL49" s="211">
        <f t="shared" si="58"/>
        <v>3437.5384615384619</v>
      </c>
      <c r="BM49" s="211">
        <f t="shared" si="58"/>
        <v>3437.5384615384619</v>
      </c>
      <c r="BN49" s="211">
        <f t="shared" si="58"/>
        <v>3437.5384615384619</v>
      </c>
      <c r="BO49" s="211">
        <f t="shared" si="58"/>
        <v>3437.5384615384619</v>
      </c>
      <c r="BP49" s="211">
        <f t="shared" si="58"/>
        <v>3437.5384615384619</v>
      </c>
      <c r="BQ49" s="211">
        <f t="shared" si="58"/>
        <v>3437.5384615384619</v>
      </c>
      <c r="BR49" s="211">
        <f t="shared" ref="BR49:DA49" si="59">IF(BR$22&lt;=$E$24,IF(BR$22&lt;=$D$24,IF(BR$22&lt;=$C$24,IF(BR$22&lt;=$B$24,$B115,($C32-$B32)/($C$24-$B$24)),($D32-$C32)/($D$24-$C$24)),($E32-$D32)/($E$24-$D$24)),$F115)</f>
        <v>3437.5384615384619</v>
      </c>
      <c r="BS49" s="211">
        <f t="shared" si="59"/>
        <v>3437.5384615384619</v>
      </c>
      <c r="BT49" s="211">
        <f t="shared" si="59"/>
        <v>3437.5384615384619</v>
      </c>
      <c r="BU49" s="211">
        <f t="shared" si="59"/>
        <v>3437.5384615384619</v>
      </c>
      <c r="BV49" s="211">
        <f t="shared" si="59"/>
        <v>3437.5384615384619</v>
      </c>
      <c r="BW49" s="211">
        <f t="shared" si="59"/>
        <v>3437.5384615384619</v>
      </c>
      <c r="BX49" s="211">
        <f t="shared" si="59"/>
        <v>3437.5384615384619</v>
      </c>
      <c r="BY49" s="211">
        <f t="shared" si="59"/>
        <v>3437.5384615384619</v>
      </c>
      <c r="BZ49" s="211">
        <f t="shared" si="59"/>
        <v>3437.5384615384619</v>
      </c>
      <c r="CA49" s="211">
        <f t="shared" si="59"/>
        <v>3437.5384615384619</v>
      </c>
      <c r="CB49" s="211">
        <f t="shared" si="59"/>
        <v>3437.5384615384619</v>
      </c>
      <c r="CC49" s="211">
        <f t="shared" si="59"/>
        <v>3437.5384615384619</v>
      </c>
      <c r="CD49" s="211">
        <f t="shared" si="59"/>
        <v>3437.5384615384619</v>
      </c>
      <c r="CE49" s="211">
        <f t="shared" si="59"/>
        <v>3437.5384615384619</v>
      </c>
      <c r="CF49" s="211">
        <f t="shared" si="59"/>
        <v>3437.5384615384619</v>
      </c>
      <c r="CG49" s="211">
        <f t="shared" si="59"/>
        <v>3437.5384615384619</v>
      </c>
      <c r="CH49" s="211">
        <f t="shared" si="59"/>
        <v>3437.5384615384619</v>
      </c>
      <c r="CI49" s="211">
        <f t="shared" si="59"/>
        <v>3437.5384615384619</v>
      </c>
      <c r="CJ49" s="211">
        <f t="shared" si="59"/>
        <v>3437.5384615384619</v>
      </c>
      <c r="CK49" s="211">
        <f t="shared" si="59"/>
        <v>3437.5384615384619</v>
      </c>
      <c r="CL49" s="211">
        <f t="shared" si="59"/>
        <v>20418.461538461539</v>
      </c>
      <c r="CM49" s="211">
        <f t="shared" si="59"/>
        <v>20418.461538461539</v>
      </c>
      <c r="CN49" s="211">
        <f t="shared" si="59"/>
        <v>20418.461538461539</v>
      </c>
      <c r="CO49" s="211">
        <f t="shared" si="59"/>
        <v>20418.461538461539</v>
      </c>
      <c r="CP49" s="211">
        <f t="shared" si="59"/>
        <v>20418.461538461539</v>
      </c>
      <c r="CQ49" s="211">
        <f t="shared" si="59"/>
        <v>20418.461538461539</v>
      </c>
      <c r="CR49" s="211">
        <f t="shared" si="59"/>
        <v>20418.461538461539</v>
      </c>
      <c r="CS49" s="211">
        <f t="shared" si="59"/>
        <v>20418.461538461539</v>
      </c>
      <c r="CT49" s="211">
        <f t="shared" si="59"/>
        <v>20418.461538461539</v>
      </c>
      <c r="CU49" s="211">
        <f t="shared" si="59"/>
        <v>20418.461538461539</v>
      </c>
      <c r="CV49" s="211">
        <f t="shared" si="59"/>
        <v>20418.461538461539</v>
      </c>
      <c r="CW49" s="211">
        <f t="shared" si="59"/>
        <v>20418.461538461539</v>
      </c>
      <c r="CX49" s="211">
        <f t="shared" si="59"/>
        <v>20418.461538461539</v>
      </c>
      <c r="CY49" s="211">
        <f t="shared" si="59"/>
        <v>2671.7</v>
      </c>
      <c r="CZ49" s="211">
        <f t="shared" si="59"/>
        <v>2671.7</v>
      </c>
      <c r="DA49" s="211">
        <f t="shared" si="59"/>
        <v>2671.7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-30.512432432432433</v>
      </c>
      <c r="AB50" s="211">
        <f t="shared" si="60"/>
        <v>-30.512432432432433</v>
      </c>
      <c r="AC50" s="211">
        <f t="shared" si="60"/>
        <v>-30.512432432432433</v>
      </c>
      <c r="AD50" s="211">
        <f t="shared" si="60"/>
        <v>-30.512432432432433</v>
      </c>
      <c r="AE50" s="211">
        <f t="shared" si="60"/>
        <v>-30.512432432432433</v>
      </c>
      <c r="AF50" s="211">
        <f t="shared" si="60"/>
        <v>-30.512432432432433</v>
      </c>
      <c r="AG50" s="211">
        <f t="shared" si="60"/>
        <v>-30.512432432432433</v>
      </c>
      <c r="AH50" s="211">
        <f t="shared" si="60"/>
        <v>-30.512432432432433</v>
      </c>
      <c r="AI50" s="211">
        <f t="shared" si="60"/>
        <v>-30.512432432432433</v>
      </c>
      <c r="AJ50" s="211">
        <f t="shared" si="60"/>
        <v>-30.512432432432433</v>
      </c>
      <c r="AK50" s="211">
        <f t="shared" si="60"/>
        <v>-30.512432432432433</v>
      </c>
      <c r="AL50" s="211">
        <f t="shared" ref="AL50:BQ50" si="61">IF(AL$22&lt;=$E$24,IF(AL$22&lt;=$D$24,IF(AL$22&lt;=$C$24,IF(AL$22&lt;=$B$24,$B116,($C33-$B33)/($C$24-$B$24)),($D33-$C33)/($D$24-$C$24)),($E33-$D33)/($E$24-$D$24)),$F116)</f>
        <v>-30.512432432432433</v>
      </c>
      <c r="AM50" s="211">
        <f t="shared" si="61"/>
        <v>-30.512432432432433</v>
      </c>
      <c r="AN50" s="211">
        <f t="shared" si="61"/>
        <v>-30.512432432432433</v>
      </c>
      <c r="AO50" s="211">
        <f t="shared" si="61"/>
        <v>-30.512432432432433</v>
      </c>
      <c r="AP50" s="211">
        <f t="shared" si="61"/>
        <v>-30.512432432432433</v>
      </c>
      <c r="AQ50" s="211">
        <f t="shared" si="61"/>
        <v>-30.512432432432433</v>
      </c>
      <c r="AR50" s="211">
        <f t="shared" si="61"/>
        <v>-30.512432432432433</v>
      </c>
      <c r="AS50" s="211">
        <f t="shared" si="61"/>
        <v>-30.512432432432433</v>
      </c>
      <c r="AT50" s="211">
        <f t="shared" si="61"/>
        <v>-30.512432432432433</v>
      </c>
      <c r="AU50" s="211">
        <f t="shared" si="61"/>
        <v>-30.512432432432433</v>
      </c>
      <c r="AV50" s="211">
        <f t="shared" si="61"/>
        <v>-30.512432432432433</v>
      </c>
      <c r="AW50" s="211">
        <f t="shared" si="61"/>
        <v>-30.512432432432433</v>
      </c>
      <c r="AX50" s="211">
        <f t="shared" si="61"/>
        <v>-30.512432432432433</v>
      </c>
      <c r="AY50" s="211">
        <f t="shared" si="61"/>
        <v>-30.512432432432433</v>
      </c>
      <c r="AZ50" s="211">
        <f t="shared" si="61"/>
        <v>-30.512432432432433</v>
      </c>
      <c r="BA50" s="211">
        <f t="shared" si="61"/>
        <v>-30.512432432432433</v>
      </c>
      <c r="BB50" s="211">
        <f t="shared" si="61"/>
        <v>-30.512432432432433</v>
      </c>
      <c r="BC50" s="211">
        <f t="shared" si="61"/>
        <v>-30.512432432432433</v>
      </c>
      <c r="BD50" s="211">
        <f t="shared" si="61"/>
        <v>-30.512432432432433</v>
      </c>
      <c r="BE50" s="211">
        <f t="shared" si="61"/>
        <v>-30.512432432432433</v>
      </c>
      <c r="BF50" s="211">
        <f t="shared" si="61"/>
        <v>-30.512432432432433</v>
      </c>
      <c r="BG50" s="211">
        <f t="shared" si="61"/>
        <v>-30.512432432432433</v>
      </c>
      <c r="BH50" s="211">
        <f t="shared" si="61"/>
        <v>-30.512432432432433</v>
      </c>
      <c r="BI50" s="211">
        <f t="shared" si="61"/>
        <v>-30.512432432432433</v>
      </c>
      <c r="BJ50" s="211">
        <f t="shared" si="61"/>
        <v>-30.512432432432433</v>
      </c>
      <c r="BK50" s="211">
        <f t="shared" si="61"/>
        <v>-30.512432432432433</v>
      </c>
      <c r="BL50" s="211">
        <f t="shared" si="61"/>
        <v>1097.6000000000001</v>
      </c>
      <c r="BM50" s="211">
        <f t="shared" si="61"/>
        <v>1097.6000000000001</v>
      </c>
      <c r="BN50" s="211">
        <f t="shared" si="61"/>
        <v>1097.6000000000001</v>
      </c>
      <c r="BO50" s="211">
        <f t="shared" si="61"/>
        <v>1097.6000000000001</v>
      </c>
      <c r="BP50" s="211">
        <f t="shared" si="61"/>
        <v>1097.6000000000001</v>
      </c>
      <c r="BQ50" s="211">
        <f t="shared" si="61"/>
        <v>1097.6000000000001</v>
      </c>
      <c r="BR50" s="211">
        <f t="shared" ref="BR50:DA50" si="62">IF(BR$22&lt;=$E$24,IF(BR$22&lt;=$D$24,IF(BR$22&lt;=$C$24,IF(BR$22&lt;=$B$24,$B116,($C33-$B33)/($C$24-$B$24)),($D33-$C33)/($D$24-$C$24)),($E33-$D33)/($E$24-$D$24)),$F116)</f>
        <v>1097.6000000000001</v>
      </c>
      <c r="BS50" s="211">
        <f t="shared" si="62"/>
        <v>1097.6000000000001</v>
      </c>
      <c r="BT50" s="211">
        <f t="shared" si="62"/>
        <v>1097.6000000000001</v>
      </c>
      <c r="BU50" s="211">
        <f t="shared" si="62"/>
        <v>1097.6000000000001</v>
      </c>
      <c r="BV50" s="211">
        <f t="shared" si="62"/>
        <v>1097.6000000000001</v>
      </c>
      <c r="BW50" s="211">
        <f t="shared" si="62"/>
        <v>1097.6000000000001</v>
      </c>
      <c r="BX50" s="211">
        <f t="shared" si="62"/>
        <v>1097.6000000000001</v>
      </c>
      <c r="BY50" s="211">
        <f t="shared" si="62"/>
        <v>1097.6000000000001</v>
      </c>
      <c r="BZ50" s="211">
        <f t="shared" si="62"/>
        <v>1097.6000000000001</v>
      </c>
      <c r="CA50" s="211">
        <f t="shared" si="62"/>
        <v>1097.6000000000001</v>
      </c>
      <c r="CB50" s="211">
        <f t="shared" si="62"/>
        <v>1097.6000000000001</v>
      </c>
      <c r="CC50" s="211">
        <f t="shared" si="62"/>
        <v>1097.6000000000001</v>
      </c>
      <c r="CD50" s="211">
        <f t="shared" si="62"/>
        <v>1097.6000000000001</v>
      </c>
      <c r="CE50" s="211">
        <f t="shared" si="62"/>
        <v>1097.6000000000001</v>
      </c>
      <c r="CF50" s="211">
        <f t="shared" si="62"/>
        <v>1097.6000000000001</v>
      </c>
      <c r="CG50" s="211">
        <f t="shared" si="62"/>
        <v>1097.6000000000001</v>
      </c>
      <c r="CH50" s="211">
        <f t="shared" si="62"/>
        <v>1097.6000000000001</v>
      </c>
      <c r="CI50" s="211">
        <f t="shared" si="62"/>
        <v>1097.6000000000001</v>
      </c>
      <c r="CJ50" s="211">
        <f t="shared" si="62"/>
        <v>1097.6000000000001</v>
      </c>
      <c r="CK50" s="211">
        <f t="shared" si="62"/>
        <v>1097.6000000000001</v>
      </c>
      <c r="CL50" s="211">
        <f t="shared" si="62"/>
        <v>-2629.4153846153849</v>
      </c>
      <c r="CM50" s="211">
        <f t="shared" si="62"/>
        <v>-2629.4153846153849</v>
      </c>
      <c r="CN50" s="211">
        <f t="shared" si="62"/>
        <v>-2629.4153846153849</v>
      </c>
      <c r="CO50" s="211">
        <f t="shared" si="62"/>
        <v>-2629.4153846153849</v>
      </c>
      <c r="CP50" s="211">
        <f t="shared" si="62"/>
        <v>-2629.4153846153849</v>
      </c>
      <c r="CQ50" s="211">
        <f t="shared" si="62"/>
        <v>-2629.4153846153849</v>
      </c>
      <c r="CR50" s="211">
        <f t="shared" si="62"/>
        <v>-2629.4153846153849</v>
      </c>
      <c r="CS50" s="211">
        <f t="shared" si="62"/>
        <v>-2629.4153846153849</v>
      </c>
      <c r="CT50" s="211">
        <f t="shared" si="62"/>
        <v>-2629.4153846153849</v>
      </c>
      <c r="CU50" s="211">
        <f t="shared" si="62"/>
        <v>-2629.4153846153849</v>
      </c>
      <c r="CV50" s="211">
        <f t="shared" si="62"/>
        <v>-2629.4153846153849</v>
      </c>
      <c r="CW50" s="211">
        <f t="shared" si="62"/>
        <v>-2629.4153846153849</v>
      </c>
      <c r="CX50" s="211">
        <f t="shared" si="62"/>
        <v>-2629.4153846153849</v>
      </c>
      <c r="CY50" s="211">
        <f t="shared" si="62"/>
        <v>829.53</v>
      </c>
      <c r="CZ50" s="211">
        <f t="shared" si="62"/>
        <v>829.53</v>
      </c>
      <c r="DA50" s="211">
        <f t="shared" si="62"/>
        <v>829.53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108.97297297297298</v>
      </c>
      <c r="AB51" s="211">
        <f t="shared" si="63"/>
        <v>108.97297297297298</v>
      </c>
      <c r="AC51" s="211">
        <f t="shared" si="63"/>
        <v>108.97297297297298</v>
      </c>
      <c r="AD51" s="211">
        <f t="shared" si="63"/>
        <v>108.97297297297298</v>
      </c>
      <c r="AE51" s="211">
        <f t="shared" si="63"/>
        <v>108.97297297297298</v>
      </c>
      <c r="AF51" s="211">
        <f t="shared" si="63"/>
        <v>108.97297297297298</v>
      </c>
      <c r="AG51" s="211">
        <f t="shared" si="63"/>
        <v>108.97297297297298</v>
      </c>
      <c r="AH51" s="211">
        <f t="shared" si="63"/>
        <v>108.97297297297298</v>
      </c>
      <c r="AI51" s="211">
        <f t="shared" si="63"/>
        <v>108.97297297297298</v>
      </c>
      <c r="AJ51" s="211">
        <f t="shared" si="63"/>
        <v>108.97297297297298</v>
      </c>
      <c r="AK51" s="211">
        <f t="shared" si="63"/>
        <v>108.97297297297298</v>
      </c>
      <c r="AL51" s="211">
        <f t="shared" ref="AL51:BQ51" si="64">IF(AL$22&lt;=$E$24,IF(AL$22&lt;=$D$24,IF(AL$22&lt;=$C$24,IF(AL$22&lt;=$B$24,$B117,($C34-$B34)/($C$24-$B$24)),($D34-$C34)/($D$24-$C$24)),($E34-$D34)/($E$24-$D$24)),$F117)</f>
        <v>108.97297297297298</v>
      </c>
      <c r="AM51" s="211">
        <f t="shared" si="64"/>
        <v>108.97297297297298</v>
      </c>
      <c r="AN51" s="211">
        <f t="shared" si="64"/>
        <v>108.97297297297298</v>
      </c>
      <c r="AO51" s="211">
        <f t="shared" si="64"/>
        <v>108.97297297297298</v>
      </c>
      <c r="AP51" s="211">
        <f t="shared" si="64"/>
        <v>108.97297297297298</v>
      </c>
      <c r="AQ51" s="211">
        <f t="shared" si="64"/>
        <v>108.97297297297298</v>
      </c>
      <c r="AR51" s="211">
        <f t="shared" si="64"/>
        <v>108.97297297297298</v>
      </c>
      <c r="AS51" s="211">
        <f t="shared" si="64"/>
        <v>108.97297297297298</v>
      </c>
      <c r="AT51" s="211">
        <f t="shared" si="64"/>
        <v>108.97297297297298</v>
      </c>
      <c r="AU51" s="211">
        <f t="shared" si="64"/>
        <v>108.97297297297298</v>
      </c>
      <c r="AV51" s="211">
        <f t="shared" si="64"/>
        <v>108.97297297297298</v>
      </c>
      <c r="AW51" s="211">
        <f t="shared" si="64"/>
        <v>108.97297297297298</v>
      </c>
      <c r="AX51" s="211">
        <f t="shared" si="64"/>
        <v>108.97297297297298</v>
      </c>
      <c r="AY51" s="211">
        <f t="shared" si="64"/>
        <v>108.97297297297298</v>
      </c>
      <c r="AZ51" s="211">
        <f t="shared" si="64"/>
        <v>108.97297297297298</v>
      </c>
      <c r="BA51" s="211">
        <f t="shared" si="64"/>
        <v>108.97297297297298</v>
      </c>
      <c r="BB51" s="211">
        <f t="shared" si="64"/>
        <v>108.97297297297298</v>
      </c>
      <c r="BC51" s="211">
        <f t="shared" si="64"/>
        <v>108.97297297297298</v>
      </c>
      <c r="BD51" s="211">
        <f t="shared" si="64"/>
        <v>108.97297297297298</v>
      </c>
      <c r="BE51" s="211">
        <f t="shared" si="64"/>
        <v>108.97297297297298</v>
      </c>
      <c r="BF51" s="211">
        <f t="shared" si="64"/>
        <v>108.97297297297298</v>
      </c>
      <c r="BG51" s="211">
        <f t="shared" si="64"/>
        <v>108.97297297297298</v>
      </c>
      <c r="BH51" s="211">
        <f t="shared" si="64"/>
        <v>108.97297297297298</v>
      </c>
      <c r="BI51" s="211">
        <f t="shared" si="64"/>
        <v>108.97297297297298</v>
      </c>
      <c r="BJ51" s="211">
        <f t="shared" si="64"/>
        <v>108.97297297297298</v>
      </c>
      <c r="BK51" s="211">
        <f t="shared" si="64"/>
        <v>108.97297297297298</v>
      </c>
      <c r="BL51" s="211">
        <f t="shared" si="64"/>
        <v>108.55384615384615</v>
      </c>
      <c r="BM51" s="211">
        <f t="shared" si="64"/>
        <v>108.55384615384615</v>
      </c>
      <c r="BN51" s="211">
        <f t="shared" si="64"/>
        <v>108.55384615384615</v>
      </c>
      <c r="BO51" s="211">
        <f t="shared" si="64"/>
        <v>108.55384615384615</v>
      </c>
      <c r="BP51" s="211">
        <f t="shared" si="64"/>
        <v>108.55384615384615</v>
      </c>
      <c r="BQ51" s="211">
        <f t="shared" si="64"/>
        <v>108.55384615384615</v>
      </c>
      <c r="BR51" s="211">
        <f t="shared" ref="BR51:DA51" si="65">IF(BR$22&lt;=$E$24,IF(BR$22&lt;=$D$24,IF(BR$22&lt;=$C$24,IF(BR$22&lt;=$B$24,$B117,($C34-$B34)/($C$24-$B$24)),($D34-$C34)/($D$24-$C$24)),($E34-$D34)/($E$24-$D$24)),$F117)</f>
        <v>108.55384615384615</v>
      </c>
      <c r="BS51" s="211">
        <f t="shared" si="65"/>
        <v>108.55384615384615</v>
      </c>
      <c r="BT51" s="211">
        <f t="shared" si="65"/>
        <v>108.55384615384615</v>
      </c>
      <c r="BU51" s="211">
        <f t="shared" si="65"/>
        <v>108.55384615384615</v>
      </c>
      <c r="BV51" s="211">
        <f t="shared" si="65"/>
        <v>108.55384615384615</v>
      </c>
      <c r="BW51" s="211">
        <f t="shared" si="65"/>
        <v>108.55384615384615</v>
      </c>
      <c r="BX51" s="211">
        <f t="shared" si="65"/>
        <v>108.55384615384615</v>
      </c>
      <c r="BY51" s="211">
        <f t="shared" si="65"/>
        <v>108.55384615384615</v>
      </c>
      <c r="BZ51" s="211">
        <f t="shared" si="65"/>
        <v>108.55384615384615</v>
      </c>
      <c r="CA51" s="211">
        <f t="shared" si="65"/>
        <v>108.55384615384615</v>
      </c>
      <c r="CB51" s="211">
        <f t="shared" si="65"/>
        <v>108.55384615384615</v>
      </c>
      <c r="CC51" s="211">
        <f t="shared" si="65"/>
        <v>108.55384615384615</v>
      </c>
      <c r="CD51" s="211">
        <f t="shared" si="65"/>
        <v>108.55384615384615</v>
      </c>
      <c r="CE51" s="211">
        <f t="shared" si="65"/>
        <v>108.55384615384615</v>
      </c>
      <c r="CF51" s="211">
        <f t="shared" si="65"/>
        <v>108.55384615384615</v>
      </c>
      <c r="CG51" s="211">
        <f t="shared" si="65"/>
        <v>108.55384615384615</v>
      </c>
      <c r="CH51" s="211">
        <f t="shared" si="65"/>
        <v>108.55384615384615</v>
      </c>
      <c r="CI51" s="211">
        <f t="shared" si="65"/>
        <v>108.55384615384615</v>
      </c>
      <c r="CJ51" s="211">
        <f t="shared" si="65"/>
        <v>108.55384615384615</v>
      </c>
      <c r="CK51" s="211">
        <f t="shared" si="65"/>
        <v>108.55384615384615</v>
      </c>
      <c r="CL51" s="211">
        <f t="shared" si="65"/>
        <v>4311.1384615384623</v>
      </c>
      <c r="CM51" s="211">
        <f t="shared" si="65"/>
        <v>4311.1384615384623</v>
      </c>
      <c r="CN51" s="211">
        <f t="shared" si="65"/>
        <v>4311.1384615384623</v>
      </c>
      <c r="CO51" s="211">
        <f t="shared" si="65"/>
        <v>4311.1384615384623</v>
      </c>
      <c r="CP51" s="211">
        <f t="shared" si="65"/>
        <v>4311.1384615384623</v>
      </c>
      <c r="CQ51" s="211">
        <f t="shared" si="65"/>
        <v>4311.1384615384623</v>
      </c>
      <c r="CR51" s="211">
        <f t="shared" si="65"/>
        <v>4311.1384615384623</v>
      </c>
      <c r="CS51" s="211">
        <f t="shared" si="65"/>
        <v>4311.1384615384623</v>
      </c>
      <c r="CT51" s="211">
        <f t="shared" si="65"/>
        <v>4311.1384615384623</v>
      </c>
      <c r="CU51" s="211">
        <f t="shared" si="65"/>
        <v>4311.1384615384623</v>
      </c>
      <c r="CV51" s="211">
        <f t="shared" si="65"/>
        <v>4311.1384615384623</v>
      </c>
      <c r="CW51" s="211">
        <f t="shared" si="65"/>
        <v>4311.1384615384623</v>
      </c>
      <c r="CX51" s="211">
        <f t="shared" si="65"/>
        <v>4311.1384615384623</v>
      </c>
      <c r="CY51" s="211">
        <f t="shared" si="65"/>
        <v>6203.5</v>
      </c>
      <c r="CZ51" s="211">
        <f t="shared" si="65"/>
        <v>6203.5</v>
      </c>
      <c r="DA51" s="211">
        <f t="shared" si="65"/>
        <v>6203.5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0.5339525160519637</v>
      </c>
      <c r="AB52" s="211">
        <f t="shared" si="66"/>
        <v>0.5339525160519637</v>
      </c>
      <c r="AC52" s="211">
        <f t="shared" si="66"/>
        <v>0.5339525160519637</v>
      </c>
      <c r="AD52" s="211">
        <f t="shared" si="66"/>
        <v>0.5339525160519637</v>
      </c>
      <c r="AE52" s="211">
        <f t="shared" si="66"/>
        <v>0.5339525160519637</v>
      </c>
      <c r="AF52" s="211">
        <f t="shared" si="66"/>
        <v>0.5339525160519637</v>
      </c>
      <c r="AG52" s="211">
        <f t="shared" si="66"/>
        <v>0.5339525160519637</v>
      </c>
      <c r="AH52" s="211">
        <f t="shared" si="66"/>
        <v>0.5339525160519637</v>
      </c>
      <c r="AI52" s="211">
        <f t="shared" si="66"/>
        <v>0.5339525160519637</v>
      </c>
      <c r="AJ52" s="211">
        <f t="shared" si="66"/>
        <v>0.5339525160519637</v>
      </c>
      <c r="AK52" s="211">
        <f t="shared" si="66"/>
        <v>0.5339525160519637</v>
      </c>
      <c r="AL52" s="211">
        <f t="shared" ref="AL52:BQ52" si="67">IF(AL$22&lt;=$E$24,IF(AL$22&lt;=$D$24,IF(AL$22&lt;=$C$24,IF(AL$22&lt;=$B$24,$B118,($C35-$B35)/($C$24-$B$24)),($D35-$C35)/($D$24-$C$24)),($E35-$D35)/($E$24-$D$24)),$F118)</f>
        <v>0.5339525160519637</v>
      </c>
      <c r="AM52" s="211">
        <f t="shared" si="67"/>
        <v>0.5339525160519637</v>
      </c>
      <c r="AN52" s="211">
        <f t="shared" si="67"/>
        <v>0.5339525160519637</v>
      </c>
      <c r="AO52" s="211">
        <f t="shared" si="67"/>
        <v>0.5339525160519637</v>
      </c>
      <c r="AP52" s="211">
        <f t="shared" si="67"/>
        <v>0.5339525160519637</v>
      </c>
      <c r="AQ52" s="211">
        <f t="shared" si="67"/>
        <v>0.5339525160519637</v>
      </c>
      <c r="AR52" s="211">
        <f t="shared" si="67"/>
        <v>0.5339525160519637</v>
      </c>
      <c r="AS52" s="211">
        <f t="shared" si="67"/>
        <v>0.5339525160519637</v>
      </c>
      <c r="AT52" s="211">
        <f t="shared" si="67"/>
        <v>0.5339525160519637</v>
      </c>
      <c r="AU52" s="211">
        <f t="shared" si="67"/>
        <v>0.5339525160519637</v>
      </c>
      <c r="AV52" s="211">
        <f t="shared" si="67"/>
        <v>0.5339525160519637</v>
      </c>
      <c r="AW52" s="211">
        <f t="shared" si="67"/>
        <v>0.5339525160519637</v>
      </c>
      <c r="AX52" s="211">
        <f t="shared" si="67"/>
        <v>0.5339525160519637</v>
      </c>
      <c r="AY52" s="211">
        <f t="shared" si="67"/>
        <v>0.5339525160519637</v>
      </c>
      <c r="AZ52" s="211">
        <f t="shared" si="67"/>
        <v>0.5339525160519637</v>
      </c>
      <c r="BA52" s="211">
        <f t="shared" si="67"/>
        <v>0.5339525160519637</v>
      </c>
      <c r="BB52" s="211">
        <f t="shared" si="67"/>
        <v>0.5339525160519637</v>
      </c>
      <c r="BC52" s="211">
        <f t="shared" si="67"/>
        <v>0.5339525160519637</v>
      </c>
      <c r="BD52" s="211">
        <f t="shared" si="67"/>
        <v>0.5339525160519637</v>
      </c>
      <c r="BE52" s="211">
        <f t="shared" si="67"/>
        <v>0.5339525160519637</v>
      </c>
      <c r="BF52" s="211">
        <f t="shared" si="67"/>
        <v>0.5339525160519637</v>
      </c>
      <c r="BG52" s="211">
        <f t="shared" si="67"/>
        <v>0.5339525160519637</v>
      </c>
      <c r="BH52" s="211">
        <f t="shared" si="67"/>
        <v>0.5339525160519637</v>
      </c>
      <c r="BI52" s="211">
        <f t="shared" si="67"/>
        <v>0.5339525160519637</v>
      </c>
      <c r="BJ52" s="211">
        <f t="shared" si="67"/>
        <v>0.5339525160519637</v>
      </c>
      <c r="BK52" s="211">
        <f t="shared" si="67"/>
        <v>0.5339525160519637</v>
      </c>
      <c r="BL52" s="211">
        <f t="shared" si="67"/>
        <v>0</v>
      </c>
      <c r="BM52" s="211">
        <f t="shared" si="67"/>
        <v>0</v>
      </c>
      <c r="BN52" s="211">
        <f t="shared" si="67"/>
        <v>0</v>
      </c>
      <c r="BO52" s="211">
        <f t="shared" si="67"/>
        <v>0</v>
      </c>
      <c r="BP52" s="211">
        <f t="shared" si="67"/>
        <v>0</v>
      </c>
      <c r="BQ52" s="211">
        <f t="shared" si="67"/>
        <v>0</v>
      </c>
      <c r="BR52" s="211">
        <f t="shared" ref="BR52:DA52" si="68">IF(BR$22&lt;=$E$24,IF(BR$22&lt;=$D$24,IF(BR$22&lt;=$C$24,IF(BR$22&lt;=$B$24,$B118,($C35-$B35)/($C$24-$B$24)),($D35-$C35)/($D$24-$C$24)),($E35-$D35)/($E$24-$D$24)),$F118)</f>
        <v>0</v>
      </c>
      <c r="BS52" s="211">
        <f t="shared" si="68"/>
        <v>0</v>
      </c>
      <c r="BT52" s="211">
        <f t="shared" si="68"/>
        <v>0</v>
      </c>
      <c r="BU52" s="211">
        <f t="shared" si="68"/>
        <v>0</v>
      </c>
      <c r="BV52" s="211">
        <f t="shared" si="68"/>
        <v>0</v>
      </c>
      <c r="BW52" s="211">
        <f t="shared" si="68"/>
        <v>0</v>
      </c>
      <c r="BX52" s="211">
        <f t="shared" si="68"/>
        <v>0</v>
      </c>
      <c r="BY52" s="211">
        <f t="shared" si="68"/>
        <v>0</v>
      </c>
      <c r="BZ52" s="211">
        <f t="shared" si="68"/>
        <v>0</v>
      </c>
      <c r="CA52" s="211">
        <f t="shared" si="68"/>
        <v>0</v>
      </c>
      <c r="CB52" s="211">
        <f t="shared" si="68"/>
        <v>0</v>
      </c>
      <c r="CC52" s="211">
        <f t="shared" si="68"/>
        <v>0</v>
      </c>
      <c r="CD52" s="211">
        <f t="shared" si="68"/>
        <v>0</v>
      </c>
      <c r="CE52" s="211">
        <f t="shared" si="68"/>
        <v>0</v>
      </c>
      <c r="CF52" s="211">
        <f t="shared" si="68"/>
        <v>0</v>
      </c>
      <c r="CG52" s="211">
        <f t="shared" si="68"/>
        <v>0</v>
      </c>
      <c r="CH52" s="211">
        <f t="shared" si="68"/>
        <v>0</v>
      </c>
      <c r="CI52" s="211">
        <f t="shared" si="68"/>
        <v>0</v>
      </c>
      <c r="CJ52" s="211">
        <f t="shared" si="68"/>
        <v>0</v>
      </c>
      <c r="CK52" s="211">
        <f t="shared" si="68"/>
        <v>0</v>
      </c>
      <c r="CL52" s="211">
        <f t="shared" si="68"/>
        <v>0.30394220144496403</v>
      </c>
      <c r="CM52" s="211">
        <f t="shared" si="68"/>
        <v>0.30394220144496403</v>
      </c>
      <c r="CN52" s="211">
        <f t="shared" si="68"/>
        <v>0.30394220144496403</v>
      </c>
      <c r="CO52" s="211">
        <f t="shared" si="68"/>
        <v>0.30394220144496403</v>
      </c>
      <c r="CP52" s="211">
        <f t="shared" si="68"/>
        <v>0.30394220144496403</v>
      </c>
      <c r="CQ52" s="211">
        <f t="shared" si="68"/>
        <v>0.30394220144496403</v>
      </c>
      <c r="CR52" s="211">
        <f t="shared" si="68"/>
        <v>0.30394220144496403</v>
      </c>
      <c r="CS52" s="211">
        <f t="shared" si="68"/>
        <v>0.30394220144496403</v>
      </c>
      <c r="CT52" s="211">
        <f t="shared" si="68"/>
        <v>0.30394220144496403</v>
      </c>
      <c r="CU52" s="211">
        <f t="shared" si="68"/>
        <v>0.30394220144496403</v>
      </c>
      <c r="CV52" s="211">
        <f t="shared" si="68"/>
        <v>0.30394220144496403</v>
      </c>
      <c r="CW52" s="211">
        <f t="shared" si="68"/>
        <v>0.30394220144496403</v>
      </c>
      <c r="CX52" s="211">
        <f t="shared" si="68"/>
        <v>0.30394220144496403</v>
      </c>
      <c r="CY52" s="211">
        <f t="shared" si="68"/>
        <v>14.730000000000004</v>
      </c>
      <c r="CZ52" s="211">
        <f t="shared" si="68"/>
        <v>14.730000000000004</v>
      </c>
      <c r="DA52" s="211">
        <f t="shared" si="68"/>
        <v>14.730000000000004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-58.370687339475538</v>
      </c>
      <c r="AB53" s="211">
        <f t="shared" si="69"/>
        <v>-58.370687339475538</v>
      </c>
      <c r="AC53" s="211">
        <f t="shared" si="69"/>
        <v>-58.370687339475538</v>
      </c>
      <c r="AD53" s="211">
        <f t="shared" si="69"/>
        <v>-58.370687339475538</v>
      </c>
      <c r="AE53" s="211">
        <f t="shared" si="69"/>
        <v>-58.370687339475538</v>
      </c>
      <c r="AF53" s="211">
        <f t="shared" si="69"/>
        <v>-58.370687339475538</v>
      </c>
      <c r="AG53" s="211">
        <f t="shared" si="69"/>
        <v>-58.370687339475538</v>
      </c>
      <c r="AH53" s="211">
        <f t="shared" si="69"/>
        <v>-58.370687339475538</v>
      </c>
      <c r="AI53" s="211">
        <f t="shared" si="69"/>
        <v>-58.370687339475538</v>
      </c>
      <c r="AJ53" s="211">
        <f t="shared" si="69"/>
        <v>-58.370687339475538</v>
      </c>
      <c r="AK53" s="211">
        <f t="shared" si="69"/>
        <v>-58.370687339475538</v>
      </c>
      <c r="AL53" s="211">
        <f t="shared" ref="AL53:BQ53" si="70">IF(AL$22&lt;=$E$24,IF(AL$22&lt;=$D$24,IF(AL$22&lt;=$C$24,IF(AL$22&lt;=$B$24,$B119,($C36-$B36)/($C$24-$B$24)),($D36-$C36)/($D$24-$C$24)),($E36-$D36)/($E$24-$D$24)),$F119)</f>
        <v>-58.370687339475538</v>
      </c>
      <c r="AM53" s="211">
        <f t="shared" si="70"/>
        <v>-58.370687339475538</v>
      </c>
      <c r="AN53" s="211">
        <f t="shared" si="70"/>
        <v>-58.370687339475538</v>
      </c>
      <c r="AO53" s="211">
        <f t="shared" si="70"/>
        <v>-58.370687339475538</v>
      </c>
      <c r="AP53" s="211">
        <f t="shared" si="70"/>
        <v>-58.370687339475538</v>
      </c>
      <c r="AQ53" s="211">
        <f t="shared" si="70"/>
        <v>-58.370687339475538</v>
      </c>
      <c r="AR53" s="211">
        <f t="shared" si="70"/>
        <v>-58.370687339475538</v>
      </c>
      <c r="AS53" s="211">
        <f t="shared" si="70"/>
        <v>-58.370687339475538</v>
      </c>
      <c r="AT53" s="211">
        <f t="shared" si="70"/>
        <v>-58.370687339475538</v>
      </c>
      <c r="AU53" s="211">
        <f t="shared" si="70"/>
        <v>-58.370687339475538</v>
      </c>
      <c r="AV53" s="211">
        <f t="shared" si="70"/>
        <v>-58.370687339475538</v>
      </c>
      <c r="AW53" s="211">
        <f t="shared" si="70"/>
        <v>-58.370687339475538</v>
      </c>
      <c r="AX53" s="211">
        <f t="shared" si="70"/>
        <v>-58.370687339475538</v>
      </c>
      <c r="AY53" s="211">
        <f t="shared" si="70"/>
        <v>-58.370687339475538</v>
      </c>
      <c r="AZ53" s="211">
        <f t="shared" si="70"/>
        <v>-58.370687339475538</v>
      </c>
      <c r="BA53" s="211">
        <f t="shared" si="70"/>
        <v>-58.370687339475538</v>
      </c>
      <c r="BB53" s="211">
        <f t="shared" si="70"/>
        <v>-58.370687339475538</v>
      </c>
      <c r="BC53" s="211">
        <f t="shared" si="70"/>
        <v>-58.370687339475538</v>
      </c>
      <c r="BD53" s="211">
        <f t="shared" si="70"/>
        <v>-58.370687339475538</v>
      </c>
      <c r="BE53" s="211">
        <f t="shared" si="70"/>
        <v>-58.370687339475538</v>
      </c>
      <c r="BF53" s="211">
        <f t="shared" si="70"/>
        <v>-58.370687339475538</v>
      </c>
      <c r="BG53" s="211">
        <f t="shared" si="70"/>
        <v>-58.370687339475538</v>
      </c>
      <c r="BH53" s="211">
        <f t="shared" si="70"/>
        <v>-58.370687339475538</v>
      </c>
      <c r="BI53" s="211">
        <f t="shared" si="70"/>
        <v>-58.370687339475538</v>
      </c>
      <c r="BJ53" s="211">
        <f t="shared" si="70"/>
        <v>-58.370687339475538</v>
      </c>
      <c r="BK53" s="211">
        <f t="shared" si="70"/>
        <v>-58.370687339475538</v>
      </c>
      <c r="BL53" s="211">
        <f t="shared" si="70"/>
        <v>-442.56186707799611</v>
      </c>
      <c r="BM53" s="211">
        <f t="shared" si="70"/>
        <v>-442.56186707799611</v>
      </c>
      <c r="BN53" s="211">
        <f t="shared" si="70"/>
        <v>-442.56186707799611</v>
      </c>
      <c r="BO53" s="211">
        <f t="shared" si="70"/>
        <v>-442.56186707799611</v>
      </c>
      <c r="BP53" s="211">
        <f t="shared" si="70"/>
        <v>-442.56186707799611</v>
      </c>
      <c r="BQ53" s="211">
        <f t="shared" si="70"/>
        <v>-442.56186707799611</v>
      </c>
      <c r="BR53" s="211">
        <f t="shared" ref="BR53:DA53" si="71">IF(BR$22&lt;=$E$24,IF(BR$22&lt;=$D$24,IF(BR$22&lt;=$C$24,IF(BR$22&lt;=$B$24,$B119,($C36-$B36)/($C$24-$B$24)),($D36-$C36)/($D$24-$C$24)),($E36-$D36)/($E$24-$D$24)),$F119)</f>
        <v>-442.56186707799611</v>
      </c>
      <c r="BS53" s="211">
        <f t="shared" si="71"/>
        <v>-442.56186707799611</v>
      </c>
      <c r="BT53" s="211">
        <f t="shared" si="71"/>
        <v>-442.56186707799611</v>
      </c>
      <c r="BU53" s="211">
        <f t="shared" si="71"/>
        <v>-442.56186707799611</v>
      </c>
      <c r="BV53" s="211">
        <f t="shared" si="71"/>
        <v>-442.56186707799611</v>
      </c>
      <c r="BW53" s="211">
        <f t="shared" si="71"/>
        <v>-442.56186707799611</v>
      </c>
      <c r="BX53" s="211">
        <f t="shared" si="71"/>
        <v>-442.56186707799611</v>
      </c>
      <c r="BY53" s="211">
        <f t="shared" si="71"/>
        <v>-442.56186707799611</v>
      </c>
      <c r="BZ53" s="211">
        <f t="shared" si="71"/>
        <v>-442.56186707799611</v>
      </c>
      <c r="CA53" s="211">
        <f t="shared" si="71"/>
        <v>-442.56186707799611</v>
      </c>
      <c r="CB53" s="211">
        <f t="shared" si="71"/>
        <v>-442.56186707799611</v>
      </c>
      <c r="CC53" s="211">
        <f t="shared" si="71"/>
        <v>-442.56186707799611</v>
      </c>
      <c r="CD53" s="211">
        <f t="shared" si="71"/>
        <v>-442.56186707799611</v>
      </c>
      <c r="CE53" s="211">
        <f t="shared" si="71"/>
        <v>-442.56186707799611</v>
      </c>
      <c r="CF53" s="211">
        <f t="shared" si="71"/>
        <v>-442.56186707799611</v>
      </c>
      <c r="CG53" s="211">
        <f t="shared" si="71"/>
        <v>-442.56186707799611</v>
      </c>
      <c r="CH53" s="211">
        <f t="shared" si="71"/>
        <v>-442.56186707799611</v>
      </c>
      <c r="CI53" s="211">
        <f t="shared" si="71"/>
        <v>-442.56186707799611</v>
      </c>
      <c r="CJ53" s="211">
        <f t="shared" si="71"/>
        <v>-442.56186707799611</v>
      </c>
      <c r="CK53" s="211">
        <f t="shared" si="71"/>
        <v>-442.56186707799611</v>
      </c>
      <c r="CL53" s="211">
        <f t="shared" si="71"/>
        <v>143.23771712158808</v>
      </c>
      <c r="CM53" s="211">
        <f t="shared" si="71"/>
        <v>143.23771712158808</v>
      </c>
      <c r="CN53" s="211">
        <f t="shared" si="71"/>
        <v>143.23771712158808</v>
      </c>
      <c r="CO53" s="211">
        <f t="shared" si="71"/>
        <v>143.23771712158808</v>
      </c>
      <c r="CP53" s="211">
        <f t="shared" si="71"/>
        <v>143.23771712158808</v>
      </c>
      <c r="CQ53" s="211">
        <f t="shared" si="71"/>
        <v>143.23771712158808</v>
      </c>
      <c r="CR53" s="211">
        <f t="shared" si="71"/>
        <v>143.23771712158808</v>
      </c>
      <c r="CS53" s="211">
        <f t="shared" si="71"/>
        <v>143.23771712158808</v>
      </c>
      <c r="CT53" s="211">
        <f t="shared" si="71"/>
        <v>143.23771712158808</v>
      </c>
      <c r="CU53" s="211">
        <f t="shared" si="71"/>
        <v>143.23771712158808</v>
      </c>
      <c r="CV53" s="211">
        <f t="shared" si="71"/>
        <v>143.23771712158808</v>
      </c>
      <c r="CW53" s="211">
        <f t="shared" si="71"/>
        <v>143.23771712158808</v>
      </c>
      <c r="CX53" s="211">
        <f t="shared" si="71"/>
        <v>143.23771712158808</v>
      </c>
      <c r="CY53" s="211">
        <f t="shared" si="71"/>
        <v>-1127.83</v>
      </c>
      <c r="CZ53" s="211">
        <f t="shared" si="71"/>
        <v>-1127.83</v>
      </c>
      <c r="DA53" s="211">
        <f t="shared" si="71"/>
        <v>-1127.83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0</v>
      </c>
      <c r="AF54" s="211">
        <f t="shared" si="72"/>
        <v>0</v>
      </c>
      <c r="AG54" s="211">
        <f t="shared" si="72"/>
        <v>0</v>
      </c>
      <c r="AH54" s="211">
        <f t="shared" si="72"/>
        <v>0</v>
      </c>
      <c r="AI54" s="211">
        <f t="shared" si="72"/>
        <v>0</v>
      </c>
      <c r="AJ54" s="211">
        <f t="shared" si="72"/>
        <v>0</v>
      </c>
      <c r="AK54" s="211">
        <f t="shared" si="72"/>
        <v>0</v>
      </c>
      <c r="AL54" s="211">
        <f t="shared" ref="AL54:BQ54" si="73">IF(AL$22&lt;=$E$24,IF(AL$22&lt;=$D$24,IF(AL$22&lt;=$C$24,IF(AL$22&lt;=$B$24,$B120,($C37-$B37)/($C$24-$B$24)),($D37-$C37)/($D$24-$C$24)),($E37-$D37)/($E$24-$D$24)),$F120)</f>
        <v>0</v>
      </c>
      <c r="AM54" s="211">
        <f t="shared" si="73"/>
        <v>0</v>
      </c>
      <c r="AN54" s="211">
        <f t="shared" si="73"/>
        <v>0</v>
      </c>
      <c r="AO54" s="211">
        <f t="shared" si="73"/>
        <v>0</v>
      </c>
      <c r="AP54" s="211">
        <f t="shared" si="73"/>
        <v>0</v>
      </c>
      <c r="AQ54" s="211">
        <f t="shared" si="73"/>
        <v>0</v>
      </c>
      <c r="AR54" s="211">
        <f t="shared" si="73"/>
        <v>0</v>
      </c>
      <c r="AS54" s="211">
        <f t="shared" si="73"/>
        <v>0</v>
      </c>
      <c r="AT54" s="211">
        <f t="shared" si="73"/>
        <v>0</v>
      </c>
      <c r="AU54" s="211">
        <f t="shared" si="73"/>
        <v>0</v>
      </c>
      <c r="AV54" s="211">
        <f t="shared" si="73"/>
        <v>0</v>
      </c>
      <c r="AW54" s="211">
        <f t="shared" si="73"/>
        <v>0</v>
      </c>
      <c r="AX54" s="211">
        <f t="shared" si="73"/>
        <v>0</v>
      </c>
      <c r="AY54" s="211">
        <f t="shared" si="73"/>
        <v>0</v>
      </c>
      <c r="AZ54" s="211">
        <f t="shared" si="73"/>
        <v>0</v>
      </c>
      <c r="BA54" s="211">
        <f t="shared" si="73"/>
        <v>0</v>
      </c>
      <c r="BB54" s="211">
        <f t="shared" si="73"/>
        <v>0</v>
      </c>
      <c r="BC54" s="211">
        <f t="shared" si="73"/>
        <v>0</v>
      </c>
      <c r="BD54" s="211">
        <f t="shared" si="73"/>
        <v>0</v>
      </c>
      <c r="BE54" s="211">
        <f t="shared" si="73"/>
        <v>0</v>
      </c>
      <c r="BF54" s="211">
        <f t="shared" si="73"/>
        <v>0</v>
      </c>
      <c r="BG54" s="211">
        <f t="shared" si="73"/>
        <v>0</v>
      </c>
      <c r="BH54" s="211">
        <f t="shared" si="73"/>
        <v>0</v>
      </c>
      <c r="BI54" s="211">
        <f t="shared" si="73"/>
        <v>0</v>
      </c>
      <c r="BJ54" s="211">
        <f t="shared" si="73"/>
        <v>0</v>
      </c>
      <c r="BK54" s="211">
        <f t="shared" si="73"/>
        <v>0</v>
      </c>
      <c r="BL54" s="211">
        <f t="shared" si="73"/>
        <v>0</v>
      </c>
      <c r="BM54" s="211">
        <f t="shared" si="73"/>
        <v>0</v>
      </c>
      <c r="BN54" s="211">
        <f t="shared" si="73"/>
        <v>0</v>
      </c>
      <c r="BO54" s="211">
        <f t="shared" si="73"/>
        <v>0</v>
      </c>
      <c r="BP54" s="211">
        <f t="shared" si="73"/>
        <v>0</v>
      </c>
      <c r="BQ54" s="211">
        <f t="shared" si="73"/>
        <v>0</v>
      </c>
      <c r="BR54" s="211">
        <f t="shared" ref="BR54:DA54" si="74">IF(BR$22&lt;=$E$24,IF(BR$22&lt;=$D$24,IF(BR$22&lt;=$C$24,IF(BR$22&lt;=$B$24,$B120,($C37-$B37)/($C$24-$B$24)),($D37-$C37)/($D$24-$C$24)),($E37-$D37)/($E$24-$D$24)),$F120)</f>
        <v>0</v>
      </c>
      <c r="BS54" s="211">
        <f t="shared" si="74"/>
        <v>0</v>
      </c>
      <c r="BT54" s="211">
        <f t="shared" si="74"/>
        <v>0</v>
      </c>
      <c r="BU54" s="211">
        <f t="shared" si="74"/>
        <v>0</v>
      </c>
      <c r="BV54" s="211">
        <f t="shared" si="74"/>
        <v>0</v>
      </c>
      <c r="BW54" s="211">
        <f t="shared" si="74"/>
        <v>0</v>
      </c>
      <c r="BX54" s="211">
        <f t="shared" si="74"/>
        <v>0</v>
      </c>
      <c r="BY54" s="211">
        <f t="shared" si="74"/>
        <v>0</v>
      </c>
      <c r="BZ54" s="211">
        <f t="shared" si="74"/>
        <v>0</v>
      </c>
      <c r="CA54" s="211">
        <f t="shared" si="74"/>
        <v>0</v>
      </c>
      <c r="CB54" s="211">
        <f t="shared" si="74"/>
        <v>0</v>
      </c>
      <c r="CC54" s="211">
        <f t="shared" si="74"/>
        <v>0</v>
      </c>
      <c r="CD54" s="211">
        <f t="shared" si="74"/>
        <v>0</v>
      </c>
      <c r="CE54" s="211">
        <f t="shared" si="74"/>
        <v>0</v>
      </c>
      <c r="CF54" s="211">
        <f t="shared" si="74"/>
        <v>0</v>
      </c>
      <c r="CG54" s="211">
        <f t="shared" si="74"/>
        <v>0</v>
      </c>
      <c r="CH54" s="211">
        <f t="shared" si="74"/>
        <v>0</v>
      </c>
      <c r="CI54" s="211">
        <f t="shared" si="74"/>
        <v>0</v>
      </c>
      <c r="CJ54" s="211">
        <f t="shared" si="74"/>
        <v>0</v>
      </c>
      <c r="CK54" s="211">
        <f t="shared" si="74"/>
        <v>0</v>
      </c>
      <c r="CL54" s="211">
        <f t="shared" si="74"/>
        <v>0</v>
      </c>
      <c r="CM54" s="211">
        <f t="shared" si="74"/>
        <v>0</v>
      </c>
      <c r="CN54" s="211">
        <f t="shared" si="74"/>
        <v>0</v>
      </c>
      <c r="CO54" s="211">
        <f t="shared" si="74"/>
        <v>0</v>
      </c>
      <c r="CP54" s="211">
        <f t="shared" si="74"/>
        <v>0</v>
      </c>
      <c r="CQ54" s="211">
        <f t="shared" si="74"/>
        <v>0</v>
      </c>
      <c r="CR54" s="211">
        <f t="shared" si="74"/>
        <v>0</v>
      </c>
      <c r="CS54" s="211">
        <f t="shared" si="74"/>
        <v>0</v>
      </c>
      <c r="CT54" s="211">
        <f t="shared" si="74"/>
        <v>0</v>
      </c>
      <c r="CU54" s="211">
        <f t="shared" si="74"/>
        <v>0</v>
      </c>
      <c r="CV54" s="211">
        <f t="shared" si="74"/>
        <v>0</v>
      </c>
      <c r="CW54" s="211">
        <f t="shared" si="74"/>
        <v>0</v>
      </c>
      <c r="CX54" s="211">
        <f t="shared" si="74"/>
        <v>0</v>
      </c>
      <c r="CY54" s="211">
        <f t="shared" si="74"/>
        <v>296.33</v>
      </c>
      <c r="CZ54" s="211">
        <f t="shared" si="74"/>
        <v>296.33</v>
      </c>
      <c r="DA54" s="211">
        <f t="shared" si="74"/>
        <v>296.33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344.95269483095262</v>
      </c>
      <c r="G59" s="205">
        <f t="shared" si="75"/>
        <v>344.95269483095262</v>
      </c>
      <c r="H59" s="205">
        <f t="shared" si="75"/>
        <v>344.95269483095262</v>
      </c>
      <c r="I59" s="205">
        <f t="shared" si="75"/>
        <v>344.95269483095262</v>
      </c>
      <c r="J59" s="205">
        <f t="shared" si="75"/>
        <v>344.95269483095262</v>
      </c>
      <c r="K59" s="205">
        <f t="shared" si="75"/>
        <v>344.95269483095262</v>
      </c>
      <c r="L59" s="205">
        <f t="shared" si="75"/>
        <v>344.95269483095262</v>
      </c>
      <c r="M59" s="205">
        <f t="shared" si="75"/>
        <v>344.95269483095262</v>
      </c>
      <c r="N59" s="205">
        <f t="shared" si="75"/>
        <v>344.95269483095262</v>
      </c>
      <c r="O59" s="205">
        <f t="shared" si="75"/>
        <v>344.95269483095262</v>
      </c>
      <c r="P59" s="205">
        <f t="shared" si="75"/>
        <v>344.95269483095262</v>
      </c>
      <c r="Q59" s="205">
        <f t="shared" si="75"/>
        <v>344.95269483095262</v>
      </c>
      <c r="R59" s="205">
        <f t="shared" si="75"/>
        <v>344.95269483095262</v>
      </c>
      <c r="S59" s="205">
        <f t="shared" si="75"/>
        <v>344.95269483095262</v>
      </c>
      <c r="T59" s="205">
        <f t="shared" si="75"/>
        <v>344.95269483095262</v>
      </c>
      <c r="U59" s="205">
        <f t="shared" si="75"/>
        <v>344.95269483095262</v>
      </c>
      <c r="V59" s="205">
        <f t="shared" si="75"/>
        <v>344.95269483095262</v>
      </c>
      <c r="W59" s="205">
        <f t="shared" si="75"/>
        <v>344.95269483095262</v>
      </c>
      <c r="X59" s="205">
        <f t="shared" si="75"/>
        <v>344.95269483095262</v>
      </c>
      <c r="Y59" s="205">
        <f t="shared" si="75"/>
        <v>344.95269483095262</v>
      </c>
      <c r="Z59" s="205">
        <f t="shared" si="75"/>
        <v>344.95269483095262</v>
      </c>
      <c r="AA59" s="205">
        <f t="shared" si="75"/>
        <v>407.3225883712343</v>
      </c>
      <c r="AB59" s="205">
        <f t="shared" si="75"/>
        <v>469.69248191151598</v>
      </c>
      <c r="AC59" s="205">
        <f t="shared" si="75"/>
        <v>532.06237545179761</v>
      </c>
      <c r="AD59" s="205">
        <f t="shared" si="75"/>
        <v>594.43226899207934</v>
      </c>
      <c r="AE59" s="205">
        <f t="shared" si="75"/>
        <v>656.80216253236097</v>
      </c>
      <c r="AF59" s="205">
        <f t="shared" si="75"/>
        <v>719.17205607264259</v>
      </c>
      <c r="AG59" s="205">
        <f t="shared" si="75"/>
        <v>781.54194961292433</v>
      </c>
      <c r="AH59" s="205">
        <f t="shared" si="75"/>
        <v>843.91184315320606</v>
      </c>
      <c r="AI59" s="205">
        <f t="shared" si="75"/>
        <v>906.28173669348769</v>
      </c>
      <c r="AJ59" s="205">
        <f t="shared" si="75"/>
        <v>968.65163023376931</v>
      </c>
      <c r="AK59" s="205">
        <f t="shared" si="75"/>
        <v>1031.021523774051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1093.3914173143326</v>
      </c>
      <c r="AM59" s="205">
        <f t="shared" si="76"/>
        <v>1155.7613108546143</v>
      </c>
      <c r="AN59" s="205">
        <f t="shared" si="76"/>
        <v>1218.131204394896</v>
      </c>
      <c r="AO59" s="205">
        <f t="shared" si="76"/>
        <v>1280.5010979351778</v>
      </c>
      <c r="AP59" s="205">
        <f t="shared" si="76"/>
        <v>1342.8709914754595</v>
      </c>
      <c r="AQ59" s="205">
        <f t="shared" si="76"/>
        <v>1405.240885015741</v>
      </c>
      <c r="AR59" s="205">
        <f t="shared" si="76"/>
        <v>1467.6107785560228</v>
      </c>
      <c r="AS59" s="205">
        <f t="shared" si="76"/>
        <v>1529.9806720963045</v>
      </c>
      <c r="AT59" s="205">
        <f t="shared" si="76"/>
        <v>1592.350565636586</v>
      </c>
      <c r="AU59" s="205">
        <f t="shared" si="76"/>
        <v>1654.7204591768677</v>
      </c>
      <c r="AV59" s="205">
        <f t="shared" si="76"/>
        <v>1717.0903527171495</v>
      </c>
      <c r="AW59" s="205">
        <f t="shared" si="76"/>
        <v>1779.4602462574312</v>
      </c>
      <c r="AX59" s="205">
        <f t="shared" si="76"/>
        <v>1841.8301397977127</v>
      </c>
      <c r="AY59" s="205">
        <f t="shared" si="76"/>
        <v>1904.2000333379945</v>
      </c>
      <c r="AZ59" s="205">
        <f t="shared" si="76"/>
        <v>1966.5699268782762</v>
      </c>
      <c r="BA59" s="205">
        <f t="shared" si="76"/>
        <v>2028.9398204185577</v>
      </c>
      <c r="BB59" s="205">
        <f t="shared" si="76"/>
        <v>2091.3097139588394</v>
      </c>
      <c r="BC59" s="205">
        <f t="shared" si="76"/>
        <v>2153.6796074991212</v>
      </c>
      <c r="BD59" s="205">
        <f t="shared" si="76"/>
        <v>2216.0495010394029</v>
      </c>
      <c r="BE59" s="205">
        <f t="shared" si="76"/>
        <v>2278.4193945796842</v>
      </c>
      <c r="BF59" s="205">
        <f t="shared" si="76"/>
        <v>2340.7892881199659</v>
      </c>
      <c r="BG59" s="205">
        <f t="shared" si="76"/>
        <v>2403.1591816602477</v>
      </c>
      <c r="BH59" s="205">
        <f t="shared" si="76"/>
        <v>2465.5290752005294</v>
      </c>
      <c r="BI59" s="205">
        <f t="shared" si="76"/>
        <v>2527.8989687408111</v>
      </c>
      <c r="BJ59" s="205">
        <f t="shared" si="76"/>
        <v>2590.2688622810929</v>
      </c>
      <c r="BK59" s="205">
        <f t="shared" si="76"/>
        <v>2652.6387558213746</v>
      </c>
      <c r="BL59" s="205">
        <f t="shared" si="76"/>
        <v>2708.4371853187554</v>
      </c>
      <c r="BM59" s="205">
        <f t="shared" si="76"/>
        <v>2764.2356148161366</v>
      </c>
      <c r="BN59" s="205">
        <f t="shared" si="76"/>
        <v>2820.0340443135174</v>
      </c>
      <c r="BO59" s="205">
        <f t="shared" si="76"/>
        <v>2875.8324738108981</v>
      </c>
      <c r="BP59" s="205">
        <f t="shared" si="76"/>
        <v>2931.6309033082789</v>
      </c>
      <c r="BQ59" s="205">
        <f t="shared" si="76"/>
        <v>2987.4293328056601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3043.2277623030409</v>
      </c>
      <c r="BS59" s="205">
        <f t="shared" si="77"/>
        <v>3099.0261918004217</v>
      </c>
      <c r="BT59" s="205">
        <f t="shared" si="77"/>
        <v>3154.8246212978029</v>
      </c>
      <c r="BU59" s="205">
        <f t="shared" si="77"/>
        <v>3210.6230507951836</v>
      </c>
      <c r="BV59" s="205">
        <f t="shared" si="77"/>
        <v>3266.4214802925644</v>
      </c>
      <c r="BW59" s="205">
        <f t="shared" si="77"/>
        <v>3322.2199097899456</v>
      </c>
      <c r="BX59" s="205">
        <f t="shared" si="77"/>
        <v>3378.0183392873264</v>
      </c>
      <c r="BY59" s="205">
        <f t="shared" si="77"/>
        <v>3433.8167687847072</v>
      </c>
      <c r="BZ59" s="205">
        <f t="shared" si="77"/>
        <v>3489.6151982820884</v>
      </c>
      <c r="CA59" s="205">
        <f t="shared" si="77"/>
        <v>3545.4136277794692</v>
      </c>
      <c r="CB59" s="205">
        <f t="shared" si="77"/>
        <v>3601.2120572768499</v>
      </c>
      <c r="CC59" s="205">
        <f t="shared" si="77"/>
        <v>3657.0104867742311</v>
      </c>
      <c r="CD59" s="205">
        <f t="shared" si="77"/>
        <v>3712.8089162716119</v>
      </c>
      <c r="CE59" s="205">
        <f t="shared" si="77"/>
        <v>3768.6073457689927</v>
      </c>
      <c r="CF59" s="205">
        <f t="shared" si="77"/>
        <v>3824.4057752663739</v>
      </c>
      <c r="CG59" s="205">
        <f t="shared" si="77"/>
        <v>3880.2042047637547</v>
      </c>
      <c r="CH59" s="205">
        <f t="shared" si="77"/>
        <v>3936.0026342611354</v>
      </c>
      <c r="CI59" s="205">
        <f t="shared" si="77"/>
        <v>3991.8010637585166</v>
      </c>
      <c r="CJ59" s="205">
        <f t="shared" si="77"/>
        <v>4047.5994932558974</v>
      </c>
      <c r="CK59" s="205">
        <f t="shared" si="77"/>
        <v>4103.3979227532782</v>
      </c>
      <c r="CL59" s="205">
        <f t="shared" si="77"/>
        <v>4091.0539227688696</v>
      </c>
      <c r="CM59" s="205">
        <f t="shared" si="77"/>
        <v>4078.709922784461</v>
      </c>
      <c r="CN59" s="205">
        <f t="shared" si="77"/>
        <v>4066.3659228000524</v>
      </c>
      <c r="CO59" s="205">
        <f t="shared" si="77"/>
        <v>4054.0219228156438</v>
      </c>
      <c r="CP59" s="205">
        <f t="shared" si="77"/>
        <v>4041.6779228312353</v>
      </c>
      <c r="CQ59" s="205">
        <f t="shared" si="77"/>
        <v>4029.3339228468267</v>
      </c>
      <c r="CR59" s="205">
        <f t="shared" si="77"/>
        <v>4016.9899228624186</v>
      </c>
      <c r="CS59" s="205">
        <f t="shared" si="77"/>
        <v>4004.64592287801</v>
      </c>
      <c r="CT59" s="205">
        <f t="shared" si="77"/>
        <v>3992.3019228936014</v>
      </c>
      <c r="CU59" s="205">
        <f t="shared" si="77"/>
        <v>3979.9579229091928</v>
      </c>
      <c r="CV59" s="205">
        <f t="shared" si="77"/>
        <v>3967.6139229247842</v>
      </c>
      <c r="CW59" s="205">
        <f t="shared" si="77"/>
        <v>3955.2699229403756</v>
      </c>
      <c r="CX59" s="205">
        <f t="shared" si="77"/>
        <v>3942.9259229559671</v>
      </c>
      <c r="CY59" s="205">
        <f t="shared" si="77"/>
        <v>4049.2859229559672</v>
      </c>
      <c r="CZ59" s="205">
        <f t="shared" si="77"/>
        <v>4155.6459229559669</v>
      </c>
      <c r="DA59" s="205">
        <f t="shared" si="77"/>
        <v>4262.0059229559674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5">
        <f t="shared" si="78"/>
        <v>0</v>
      </c>
      <c r="H60" s="205">
        <f t="shared" si="78"/>
        <v>0</v>
      </c>
      <c r="I60" s="205">
        <f t="shared" si="78"/>
        <v>0</v>
      </c>
      <c r="J60" s="205">
        <f t="shared" si="78"/>
        <v>0</v>
      </c>
      <c r="K60" s="205">
        <f t="shared" si="78"/>
        <v>0</v>
      </c>
      <c r="L60" s="205">
        <f t="shared" si="78"/>
        <v>0</v>
      </c>
      <c r="M60" s="205">
        <f t="shared" si="78"/>
        <v>0</v>
      </c>
      <c r="N60" s="205">
        <f t="shared" si="78"/>
        <v>0</v>
      </c>
      <c r="O60" s="205">
        <f t="shared" si="78"/>
        <v>0</v>
      </c>
      <c r="P60" s="205">
        <f t="shared" si="78"/>
        <v>0</v>
      </c>
      <c r="Q60" s="205">
        <f t="shared" si="78"/>
        <v>0</v>
      </c>
      <c r="R60" s="205">
        <f t="shared" si="78"/>
        <v>0</v>
      </c>
      <c r="S60" s="205">
        <f t="shared" si="78"/>
        <v>0</v>
      </c>
      <c r="T60" s="205">
        <f t="shared" si="78"/>
        <v>0</v>
      </c>
      <c r="U60" s="205">
        <f t="shared" si="78"/>
        <v>0</v>
      </c>
      <c r="V60" s="205">
        <f t="shared" si="78"/>
        <v>0</v>
      </c>
      <c r="W60" s="205">
        <f t="shared" si="78"/>
        <v>0</v>
      </c>
      <c r="X60" s="205">
        <f t="shared" si="78"/>
        <v>0</v>
      </c>
      <c r="Y60" s="205">
        <f t="shared" si="78"/>
        <v>0</v>
      </c>
      <c r="Z60" s="205">
        <f t="shared" si="78"/>
        <v>0</v>
      </c>
      <c r="AA60" s="205">
        <f t="shared" si="78"/>
        <v>0</v>
      </c>
      <c r="AB60" s="205">
        <f t="shared" si="78"/>
        <v>0</v>
      </c>
      <c r="AC60" s="205">
        <f t="shared" si="78"/>
        <v>0</v>
      </c>
      <c r="AD60" s="205">
        <f t="shared" si="78"/>
        <v>0</v>
      </c>
      <c r="AE60" s="205">
        <f t="shared" si="78"/>
        <v>0</v>
      </c>
      <c r="AF60" s="205">
        <f t="shared" si="78"/>
        <v>0</v>
      </c>
      <c r="AG60" s="205">
        <f t="shared" si="78"/>
        <v>0</v>
      </c>
      <c r="AH60" s="205">
        <f t="shared" si="78"/>
        <v>0</v>
      </c>
      <c r="AI60" s="205">
        <f t="shared" si="78"/>
        <v>0</v>
      </c>
      <c r="AJ60" s="205">
        <f t="shared" si="78"/>
        <v>0</v>
      </c>
      <c r="AK60" s="205">
        <f t="shared" si="78"/>
        <v>0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5">
        <f t="shared" si="79"/>
        <v>0</v>
      </c>
      <c r="AN60" s="205">
        <f t="shared" si="79"/>
        <v>0</v>
      </c>
      <c r="AO60" s="205">
        <f t="shared" si="79"/>
        <v>0</v>
      </c>
      <c r="AP60" s="205">
        <f t="shared" si="79"/>
        <v>0</v>
      </c>
      <c r="AQ60" s="205">
        <f t="shared" si="79"/>
        <v>0</v>
      </c>
      <c r="AR60" s="205">
        <f t="shared" si="79"/>
        <v>0</v>
      </c>
      <c r="AS60" s="205">
        <f t="shared" si="79"/>
        <v>0</v>
      </c>
      <c r="AT60" s="205">
        <f t="shared" si="79"/>
        <v>0</v>
      </c>
      <c r="AU60" s="205">
        <f t="shared" si="79"/>
        <v>0</v>
      </c>
      <c r="AV60" s="205">
        <f t="shared" si="79"/>
        <v>0</v>
      </c>
      <c r="AW60" s="205">
        <f t="shared" si="79"/>
        <v>0</v>
      </c>
      <c r="AX60" s="205">
        <f t="shared" si="79"/>
        <v>0</v>
      </c>
      <c r="AY60" s="205">
        <f t="shared" si="79"/>
        <v>0</v>
      </c>
      <c r="AZ60" s="205">
        <f t="shared" si="79"/>
        <v>0</v>
      </c>
      <c r="BA60" s="205">
        <f t="shared" si="79"/>
        <v>0</v>
      </c>
      <c r="BB60" s="205">
        <f t="shared" si="79"/>
        <v>0</v>
      </c>
      <c r="BC60" s="205">
        <f t="shared" si="79"/>
        <v>0</v>
      </c>
      <c r="BD60" s="205">
        <f t="shared" si="79"/>
        <v>0</v>
      </c>
      <c r="BE60" s="205">
        <f t="shared" si="79"/>
        <v>0</v>
      </c>
      <c r="BF60" s="205">
        <f t="shared" si="79"/>
        <v>0</v>
      </c>
      <c r="BG60" s="205">
        <f t="shared" si="79"/>
        <v>0</v>
      </c>
      <c r="BH60" s="205">
        <f t="shared" si="79"/>
        <v>0</v>
      </c>
      <c r="BI60" s="205">
        <f t="shared" si="79"/>
        <v>0</v>
      </c>
      <c r="BJ60" s="205">
        <f t="shared" si="79"/>
        <v>0</v>
      </c>
      <c r="BK60" s="205">
        <f t="shared" si="79"/>
        <v>0</v>
      </c>
      <c r="BL60" s="205">
        <f t="shared" si="79"/>
        <v>0</v>
      </c>
      <c r="BM60" s="205">
        <f t="shared" si="79"/>
        <v>0</v>
      </c>
      <c r="BN60" s="205">
        <f t="shared" si="79"/>
        <v>0</v>
      </c>
      <c r="BO60" s="205">
        <f t="shared" si="79"/>
        <v>0</v>
      </c>
      <c r="BP60" s="205">
        <f t="shared" si="79"/>
        <v>0</v>
      </c>
      <c r="BQ60" s="205">
        <f t="shared" si="79"/>
        <v>0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5">
        <f t="shared" si="80"/>
        <v>0</v>
      </c>
      <c r="BT60" s="205">
        <f t="shared" si="80"/>
        <v>0</v>
      </c>
      <c r="BU60" s="205">
        <f t="shared" si="80"/>
        <v>0</v>
      </c>
      <c r="BV60" s="205">
        <f t="shared" si="80"/>
        <v>0</v>
      </c>
      <c r="BW60" s="205">
        <f t="shared" si="80"/>
        <v>0</v>
      </c>
      <c r="BX60" s="205">
        <f t="shared" si="80"/>
        <v>0</v>
      </c>
      <c r="BY60" s="205">
        <f t="shared" si="80"/>
        <v>0</v>
      </c>
      <c r="BZ60" s="205">
        <f t="shared" si="80"/>
        <v>0</v>
      </c>
      <c r="CA60" s="205">
        <f t="shared" si="80"/>
        <v>0</v>
      </c>
      <c r="CB60" s="205">
        <f t="shared" si="80"/>
        <v>0</v>
      </c>
      <c r="CC60" s="205">
        <f t="shared" si="80"/>
        <v>0</v>
      </c>
      <c r="CD60" s="205">
        <f t="shared" si="80"/>
        <v>0</v>
      </c>
      <c r="CE60" s="205">
        <f t="shared" si="80"/>
        <v>0</v>
      </c>
      <c r="CF60" s="205">
        <f t="shared" si="80"/>
        <v>0</v>
      </c>
      <c r="CG60" s="205">
        <f t="shared" si="80"/>
        <v>0</v>
      </c>
      <c r="CH60" s="205">
        <f t="shared" si="80"/>
        <v>0</v>
      </c>
      <c r="CI60" s="205">
        <f t="shared" si="80"/>
        <v>0</v>
      </c>
      <c r="CJ60" s="205">
        <f t="shared" si="80"/>
        <v>0</v>
      </c>
      <c r="CK60" s="205">
        <f t="shared" si="80"/>
        <v>0</v>
      </c>
      <c r="CL60" s="205">
        <f t="shared" si="80"/>
        <v>372.18461538461537</v>
      </c>
      <c r="CM60" s="205">
        <f t="shared" si="80"/>
        <v>744.36923076923074</v>
      </c>
      <c r="CN60" s="205">
        <f t="shared" si="80"/>
        <v>1116.5538461538461</v>
      </c>
      <c r="CO60" s="205">
        <f t="shared" si="80"/>
        <v>1488.7384615384615</v>
      </c>
      <c r="CP60" s="205">
        <f t="shared" si="80"/>
        <v>1860.9230769230769</v>
      </c>
      <c r="CQ60" s="205">
        <f t="shared" si="80"/>
        <v>2233.1076923076921</v>
      </c>
      <c r="CR60" s="205">
        <f t="shared" si="80"/>
        <v>2605.2923076923075</v>
      </c>
      <c r="CS60" s="205">
        <f t="shared" si="80"/>
        <v>2977.476923076923</v>
      </c>
      <c r="CT60" s="205">
        <f t="shared" si="80"/>
        <v>3349.6615384615384</v>
      </c>
      <c r="CU60" s="205">
        <f t="shared" si="80"/>
        <v>3721.8461538461538</v>
      </c>
      <c r="CV60" s="205">
        <f t="shared" si="80"/>
        <v>4094.0307692307692</v>
      </c>
      <c r="CW60" s="205">
        <f t="shared" si="80"/>
        <v>4466.2153846153842</v>
      </c>
      <c r="CX60" s="205">
        <f t="shared" si="80"/>
        <v>4838.3999999999996</v>
      </c>
      <c r="CY60" s="205">
        <f t="shared" si="80"/>
        <v>5563.26</v>
      </c>
      <c r="CZ60" s="205">
        <f t="shared" si="80"/>
        <v>6288.12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7012.98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0</v>
      </c>
      <c r="V61" s="205">
        <f t="shared" si="81"/>
        <v>0</v>
      </c>
      <c r="W61" s="205">
        <f t="shared" si="81"/>
        <v>0</v>
      </c>
      <c r="X61" s="205">
        <f t="shared" si="81"/>
        <v>0</v>
      </c>
      <c r="Y61" s="205">
        <f t="shared" si="81"/>
        <v>0</v>
      </c>
      <c r="Z61" s="205">
        <f t="shared" si="81"/>
        <v>0</v>
      </c>
      <c r="AA61" s="205">
        <f t="shared" si="81"/>
        <v>4.5100619424382042</v>
      </c>
      <c r="AB61" s="205">
        <f t="shared" si="81"/>
        <v>9.0201238848764085</v>
      </c>
      <c r="AC61" s="205">
        <f t="shared" si="81"/>
        <v>13.530185827314613</v>
      </c>
      <c r="AD61" s="205">
        <f t="shared" si="81"/>
        <v>18.040247769752817</v>
      </c>
      <c r="AE61" s="205">
        <f t="shared" si="81"/>
        <v>22.550309712191023</v>
      </c>
      <c r="AF61" s="205">
        <f t="shared" si="81"/>
        <v>27.060371654629225</v>
      </c>
      <c r="AG61" s="205">
        <f t="shared" si="81"/>
        <v>31.570433597067428</v>
      </c>
      <c r="AH61" s="205">
        <f t="shared" si="81"/>
        <v>36.080495539505634</v>
      </c>
      <c r="AI61" s="205">
        <f t="shared" si="81"/>
        <v>40.59055748194384</v>
      </c>
      <c r="AJ61" s="205">
        <f t="shared" si="81"/>
        <v>45.100619424382046</v>
      </c>
      <c r="AK61" s="205">
        <f t="shared" si="81"/>
        <v>49.610681366820245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54.120743309258451</v>
      </c>
      <c r="AM61" s="205">
        <f t="shared" si="82"/>
        <v>58.630805251696657</v>
      </c>
      <c r="AN61" s="205">
        <f t="shared" si="82"/>
        <v>63.140867194134856</v>
      </c>
      <c r="AO61" s="205">
        <f t="shared" si="82"/>
        <v>67.650929136573069</v>
      </c>
      <c r="AP61" s="205">
        <f t="shared" si="82"/>
        <v>72.160991079011268</v>
      </c>
      <c r="AQ61" s="205">
        <f t="shared" si="82"/>
        <v>76.671053021449467</v>
      </c>
      <c r="AR61" s="205">
        <f t="shared" si="82"/>
        <v>81.18111496388768</v>
      </c>
      <c r="AS61" s="205">
        <f t="shared" si="82"/>
        <v>85.691176906325879</v>
      </c>
      <c r="AT61" s="205">
        <f t="shared" si="82"/>
        <v>90.201238848764092</v>
      </c>
      <c r="AU61" s="205">
        <f t="shared" si="82"/>
        <v>94.711300791202291</v>
      </c>
      <c r="AV61" s="205">
        <f t="shared" si="82"/>
        <v>99.22136273364049</v>
      </c>
      <c r="AW61" s="205">
        <f t="shared" si="82"/>
        <v>103.7314246760787</v>
      </c>
      <c r="AX61" s="205">
        <f t="shared" si="82"/>
        <v>108.2414866185169</v>
      </c>
      <c r="AY61" s="205">
        <f t="shared" si="82"/>
        <v>112.7515485609551</v>
      </c>
      <c r="AZ61" s="205">
        <f t="shared" si="82"/>
        <v>117.26161050339331</v>
      </c>
      <c r="BA61" s="205">
        <f t="shared" si="82"/>
        <v>121.77167244583151</v>
      </c>
      <c r="BB61" s="205">
        <f t="shared" si="82"/>
        <v>126.28173438826971</v>
      </c>
      <c r="BC61" s="205">
        <f t="shared" si="82"/>
        <v>130.79179633070791</v>
      </c>
      <c r="BD61" s="205">
        <f t="shared" si="82"/>
        <v>135.30185827314614</v>
      </c>
      <c r="BE61" s="205">
        <f t="shared" si="82"/>
        <v>139.81192021558434</v>
      </c>
      <c r="BF61" s="205">
        <f t="shared" si="82"/>
        <v>144.32198215802254</v>
      </c>
      <c r="BG61" s="205">
        <f t="shared" si="82"/>
        <v>148.83204410046073</v>
      </c>
      <c r="BH61" s="205">
        <f t="shared" si="82"/>
        <v>153.34210604289893</v>
      </c>
      <c r="BI61" s="205">
        <f t="shared" si="82"/>
        <v>157.85216798533716</v>
      </c>
      <c r="BJ61" s="205">
        <f t="shared" si="82"/>
        <v>162.36222992777536</v>
      </c>
      <c r="BK61" s="205">
        <f t="shared" si="82"/>
        <v>166.87229187021356</v>
      </c>
      <c r="BL61" s="205">
        <f t="shared" si="82"/>
        <v>177.58934810844409</v>
      </c>
      <c r="BM61" s="205">
        <f t="shared" si="82"/>
        <v>188.30640434667461</v>
      </c>
      <c r="BN61" s="205">
        <f t="shared" si="82"/>
        <v>199.02346058490514</v>
      </c>
      <c r="BO61" s="205">
        <f t="shared" si="82"/>
        <v>209.74051682313566</v>
      </c>
      <c r="BP61" s="205">
        <f t="shared" si="82"/>
        <v>220.45757306136619</v>
      </c>
      <c r="BQ61" s="205">
        <f t="shared" si="82"/>
        <v>231.17462929959669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241.89168553782724</v>
      </c>
      <c r="BS61" s="205">
        <f t="shared" si="83"/>
        <v>252.60874177605774</v>
      </c>
      <c r="BT61" s="205">
        <f t="shared" si="83"/>
        <v>263.3257980142883</v>
      </c>
      <c r="BU61" s="205">
        <f t="shared" si="83"/>
        <v>274.04285425251879</v>
      </c>
      <c r="BV61" s="205">
        <f t="shared" si="83"/>
        <v>284.75991049074935</v>
      </c>
      <c r="BW61" s="205">
        <f t="shared" si="83"/>
        <v>295.47696672897985</v>
      </c>
      <c r="BX61" s="205">
        <f t="shared" si="83"/>
        <v>306.19402296721034</v>
      </c>
      <c r="BY61" s="205">
        <f t="shared" si="83"/>
        <v>316.9110792054409</v>
      </c>
      <c r="BZ61" s="205">
        <f t="shared" si="83"/>
        <v>327.62813544367145</v>
      </c>
      <c r="CA61" s="205">
        <f t="shared" si="83"/>
        <v>338.34519168190195</v>
      </c>
      <c r="CB61" s="205">
        <f t="shared" si="83"/>
        <v>349.06224792013245</v>
      </c>
      <c r="CC61" s="205">
        <f t="shared" si="83"/>
        <v>359.779304158363</v>
      </c>
      <c r="CD61" s="205">
        <f t="shared" si="83"/>
        <v>370.49636039659356</v>
      </c>
      <c r="CE61" s="205">
        <f t="shared" si="83"/>
        <v>381.21341663482406</v>
      </c>
      <c r="CF61" s="205">
        <f t="shared" si="83"/>
        <v>391.93047287305455</v>
      </c>
      <c r="CG61" s="205">
        <f t="shared" si="83"/>
        <v>402.64752911128511</v>
      </c>
      <c r="CH61" s="205">
        <f t="shared" si="83"/>
        <v>413.36458534951566</v>
      </c>
      <c r="CI61" s="205">
        <f t="shared" si="83"/>
        <v>424.08164158774616</v>
      </c>
      <c r="CJ61" s="205">
        <f t="shared" si="83"/>
        <v>434.79869782597666</v>
      </c>
      <c r="CK61" s="205">
        <f t="shared" si="83"/>
        <v>445.51575406420716</v>
      </c>
      <c r="CL61" s="205">
        <f t="shared" si="83"/>
        <v>515.03465996038562</v>
      </c>
      <c r="CM61" s="205">
        <f t="shared" si="83"/>
        <v>584.55356585656409</v>
      </c>
      <c r="CN61" s="205">
        <f t="shared" si="83"/>
        <v>654.07247175274256</v>
      </c>
      <c r="CO61" s="205">
        <f t="shared" si="83"/>
        <v>723.59137764892102</v>
      </c>
      <c r="CP61" s="205">
        <f t="shared" si="83"/>
        <v>793.11028354509949</v>
      </c>
      <c r="CQ61" s="205">
        <f t="shared" si="83"/>
        <v>862.62918944127784</v>
      </c>
      <c r="CR61" s="205">
        <f t="shared" si="83"/>
        <v>932.1480953374562</v>
      </c>
      <c r="CS61" s="205">
        <f t="shared" si="83"/>
        <v>1001.6670012336347</v>
      </c>
      <c r="CT61" s="205">
        <f t="shared" si="83"/>
        <v>1071.1859071298131</v>
      </c>
      <c r="CU61" s="205">
        <f t="shared" si="83"/>
        <v>1140.7048130259916</v>
      </c>
      <c r="CV61" s="205">
        <f t="shared" si="83"/>
        <v>1210.2237189221701</v>
      </c>
      <c r="CW61" s="205">
        <f t="shared" si="83"/>
        <v>1279.7426248183485</v>
      </c>
      <c r="CX61" s="205">
        <f t="shared" si="83"/>
        <v>1349.261530714527</v>
      </c>
      <c r="CY61" s="205">
        <f t="shared" si="83"/>
        <v>1357.6925307145268</v>
      </c>
      <c r="CZ61" s="205">
        <f t="shared" si="83"/>
        <v>1366.1235307145269</v>
      </c>
      <c r="DA61" s="205">
        <f t="shared" si="83"/>
        <v>1374.5545307145267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5">
        <f t="shared" si="87"/>
        <v>0</v>
      </c>
      <c r="H63" s="205">
        <f t="shared" si="87"/>
        <v>0</v>
      </c>
      <c r="I63" s="205">
        <f t="shared" si="87"/>
        <v>0</v>
      </c>
      <c r="J63" s="205">
        <f t="shared" si="87"/>
        <v>0</v>
      </c>
      <c r="K63" s="205">
        <f t="shared" si="87"/>
        <v>0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5">
        <f t="shared" si="87"/>
        <v>0</v>
      </c>
      <c r="N63" s="205">
        <f t="shared" si="87"/>
        <v>0</v>
      </c>
      <c r="O63" s="205">
        <f t="shared" si="87"/>
        <v>0</v>
      </c>
      <c r="P63" s="205">
        <f t="shared" si="87"/>
        <v>0</v>
      </c>
      <c r="Q63" s="205">
        <f t="shared" si="87"/>
        <v>0</v>
      </c>
      <c r="R63" s="205">
        <f t="shared" si="87"/>
        <v>0</v>
      </c>
      <c r="S63" s="205">
        <f t="shared" si="87"/>
        <v>0</v>
      </c>
      <c r="T63" s="205">
        <f t="shared" si="87"/>
        <v>0</v>
      </c>
      <c r="U63" s="205">
        <f t="shared" si="87"/>
        <v>0</v>
      </c>
      <c r="V63" s="205">
        <f t="shared" si="87"/>
        <v>0</v>
      </c>
      <c r="W63" s="205">
        <f t="shared" si="87"/>
        <v>0</v>
      </c>
      <c r="X63" s="205">
        <f t="shared" si="87"/>
        <v>0</v>
      </c>
      <c r="Y63" s="205">
        <f t="shared" si="87"/>
        <v>0</v>
      </c>
      <c r="Z63" s="205">
        <f t="shared" si="87"/>
        <v>0</v>
      </c>
      <c r="AA63" s="205">
        <f t="shared" si="87"/>
        <v>109.88108108108108</v>
      </c>
      <c r="AB63" s="205">
        <f t="shared" si="87"/>
        <v>219.76216216216216</v>
      </c>
      <c r="AC63" s="205">
        <f t="shared" si="87"/>
        <v>329.64324324324321</v>
      </c>
      <c r="AD63" s="205">
        <f t="shared" si="87"/>
        <v>439.52432432432431</v>
      </c>
      <c r="AE63" s="205">
        <f t="shared" si="87"/>
        <v>549.40540540540542</v>
      </c>
      <c r="AF63" s="205">
        <f t="shared" si="87"/>
        <v>659.28648648648641</v>
      </c>
      <c r="AG63" s="205">
        <f t="shared" si="87"/>
        <v>769.16756756756752</v>
      </c>
      <c r="AH63" s="205">
        <f t="shared" si="87"/>
        <v>879.04864864864862</v>
      </c>
      <c r="AI63" s="205">
        <f t="shared" si="87"/>
        <v>988.92972972972973</v>
      </c>
      <c r="AJ63" s="205">
        <f t="shared" si="87"/>
        <v>1098.8108108108108</v>
      </c>
      <c r="AK63" s="205">
        <f t="shared" si="87"/>
        <v>1208.6918918918918</v>
      </c>
      <c r="AL63" s="205">
        <f t="shared" si="87"/>
        <v>1318.5729729729728</v>
      </c>
      <c r="AM63" s="205">
        <f t="shared" si="87"/>
        <v>1428.454054054054</v>
      </c>
      <c r="AN63" s="205">
        <f t="shared" si="87"/>
        <v>1538.335135135135</v>
      </c>
      <c r="AO63" s="205">
        <f t="shared" si="87"/>
        <v>1648.2162162162163</v>
      </c>
      <c r="AP63" s="205">
        <f t="shared" si="87"/>
        <v>1758.0972972972972</v>
      </c>
      <c r="AQ63" s="205">
        <f t="shared" si="87"/>
        <v>1867.9783783783782</v>
      </c>
      <c r="AR63" s="205">
        <f t="shared" si="87"/>
        <v>1977.8594594594595</v>
      </c>
      <c r="AS63" s="205">
        <f t="shared" si="87"/>
        <v>2087.7405405405407</v>
      </c>
      <c r="AT63" s="205">
        <f t="shared" si="87"/>
        <v>2197.6216216216217</v>
      </c>
      <c r="AU63" s="205">
        <f t="shared" si="87"/>
        <v>2307.5027027027027</v>
      </c>
      <c r="AV63" s="205">
        <f t="shared" si="87"/>
        <v>2417.3837837837837</v>
      </c>
      <c r="AW63" s="205">
        <f t="shared" si="87"/>
        <v>2527.2648648648646</v>
      </c>
      <c r="AX63" s="205">
        <f t="shared" si="87"/>
        <v>2637.1459459459456</v>
      </c>
      <c r="AY63" s="205">
        <f t="shared" si="87"/>
        <v>2747.0270270270271</v>
      </c>
      <c r="AZ63" s="205">
        <f t="shared" si="87"/>
        <v>2856.9081081081081</v>
      </c>
      <c r="BA63" s="205">
        <f t="shared" si="87"/>
        <v>2966.7891891891891</v>
      </c>
      <c r="BB63" s="205">
        <f t="shared" si="87"/>
        <v>3076.6702702702701</v>
      </c>
      <c r="BC63" s="205">
        <f t="shared" si="87"/>
        <v>3186.5513513513511</v>
      </c>
      <c r="BD63" s="205">
        <f t="shared" si="87"/>
        <v>3296.4324324324325</v>
      </c>
      <c r="BE63" s="205">
        <f t="shared" si="87"/>
        <v>3406.3135135135135</v>
      </c>
      <c r="BF63" s="205">
        <f t="shared" si="87"/>
        <v>3516.1945945945945</v>
      </c>
      <c r="BG63" s="205">
        <f t="shared" si="87"/>
        <v>3626.0756756756755</v>
      </c>
      <c r="BH63" s="205">
        <f t="shared" si="87"/>
        <v>3735.9567567567565</v>
      </c>
      <c r="BI63" s="205">
        <f t="shared" si="87"/>
        <v>3845.8378378378379</v>
      </c>
      <c r="BJ63" s="205">
        <f t="shared" si="87"/>
        <v>3955.7189189189189</v>
      </c>
      <c r="BK63" s="205">
        <f t="shared" si="87"/>
        <v>4065.6</v>
      </c>
      <c r="BL63" s="205">
        <f t="shared" si="87"/>
        <v>4365.8461538461543</v>
      </c>
      <c r="BM63" s="205">
        <f t="shared" si="87"/>
        <v>4666.0923076923082</v>
      </c>
      <c r="BN63" s="205">
        <f t="shared" si="87"/>
        <v>4966.3384615384621</v>
      </c>
      <c r="BO63" s="205">
        <f t="shared" si="87"/>
        <v>5266.584615384616</v>
      </c>
      <c r="BP63" s="205">
        <f t="shared" si="87"/>
        <v>5566.8307692307699</v>
      </c>
      <c r="BQ63" s="205">
        <f t="shared" si="87"/>
        <v>5867.0769230769238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6167.3230769230777</v>
      </c>
      <c r="BS63" s="205">
        <f t="shared" si="89"/>
        <v>6467.5692307692316</v>
      </c>
      <c r="BT63" s="205">
        <f t="shared" si="89"/>
        <v>6767.8153846153855</v>
      </c>
      <c r="BU63" s="205">
        <f t="shared" si="89"/>
        <v>7068.0615384615394</v>
      </c>
      <c r="BV63" s="205">
        <f t="shared" si="89"/>
        <v>7368.3076923076933</v>
      </c>
      <c r="BW63" s="205">
        <f t="shared" si="89"/>
        <v>7668.5538461538472</v>
      </c>
      <c r="BX63" s="205">
        <f t="shared" si="89"/>
        <v>7968.8000000000011</v>
      </c>
      <c r="BY63" s="205">
        <f t="shared" si="89"/>
        <v>8269.046153846155</v>
      </c>
      <c r="BZ63" s="205">
        <f t="shared" si="89"/>
        <v>8569.2923076923089</v>
      </c>
      <c r="CA63" s="205">
        <f t="shared" si="89"/>
        <v>8869.5384615384628</v>
      </c>
      <c r="CB63" s="205">
        <f t="shared" si="89"/>
        <v>9169.7846153846167</v>
      </c>
      <c r="CC63" s="205">
        <f t="shared" si="89"/>
        <v>9470.0307692307706</v>
      </c>
      <c r="CD63" s="205">
        <f t="shared" si="89"/>
        <v>9770.2769230769245</v>
      </c>
      <c r="CE63" s="205">
        <f t="shared" si="89"/>
        <v>10070.523076923078</v>
      </c>
      <c r="CF63" s="205">
        <f t="shared" si="89"/>
        <v>10370.769230769232</v>
      </c>
      <c r="CG63" s="205">
        <f t="shared" si="89"/>
        <v>10671.015384615386</v>
      </c>
      <c r="CH63" s="205">
        <f t="shared" si="89"/>
        <v>10971.26153846154</v>
      </c>
      <c r="CI63" s="205">
        <f t="shared" si="89"/>
        <v>11271.507692307694</v>
      </c>
      <c r="CJ63" s="205">
        <f t="shared" si="89"/>
        <v>11571.753846153848</v>
      </c>
      <c r="CK63" s="205">
        <f t="shared" si="89"/>
        <v>11872.000000000002</v>
      </c>
      <c r="CL63" s="205">
        <f t="shared" si="89"/>
        <v>12778.338461538464</v>
      </c>
      <c r="CM63" s="205">
        <f t="shared" si="89"/>
        <v>13684.676923076926</v>
      </c>
      <c r="CN63" s="205">
        <f t="shared" si="89"/>
        <v>14591.015384615388</v>
      </c>
      <c r="CO63" s="205">
        <f t="shared" si="89"/>
        <v>15497.353846153848</v>
      </c>
      <c r="CP63" s="205">
        <f t="shared" si="89"/>
        <v>16403.692307692312</v>
      </c>
      <c r="CQ63" s="205">
        <f t="shared" si="89"/>
        <v>17310.030769230772</v>
      </c>
      <c r="CR63" s="205">
        <f t="shared" si="89"/>
        <v>18216.369230769233</v>
      </c>
      <c r="CS63" s="205">
        <f t="shared" si="89"/>
        <v>19122.707692307697</v>
      </c>
      <c r="CT63" s="205">
        <f t="shared" si="89"/>
        <v>20029.04615384616</v>
      </c>
      <c r="CU63" s="205">
        <f t="shared" si="89"/>
        <v>20935.384615384621</v>
      </c>
      <c r="CV63" s="205">
        <f t="shared" si="89"/>
        <v>21841.723076923081</v>
      </c>
      <c r="CW63" s="205">
        <f t="shared" si="89"/>
        <v>22748.061538461545</v>
      </c>
      <c r="CX63" s="205">
        <f t="shared" si="89"/>
        <v>23654.400000000005</v>
      </c>
      <c r="CY63" s="205">
        <f t="shared" si="89"/>
        <v>23654.400000000005</v>
      </c>
      <c r="CZ63" s="205">
        <f t="shared" si="89"/>
        <v>23654.400000000005</v>
      </c>
      <c r="DA63" s="205">
        <f t="shared" si="89"/>
        <v>23654.400000000005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5">
        <f t="shared" si="90"/>
        <v>0</v>
      </c>
      <c r="H64" s="205">
        <f t="shared" si="90"/>
        <v>0</v>
      </c>
      <c r="I64" s="205">
        <f t="shared" si="90"/>
        <v>0</v>
      </c>
      <c r="J64" s="205">
        <f t="shared" si="90"/>
        <v>0</v>
      </c>
      <c r="K64" s="205">
        <f t="shared" si="90"/>
        <v>0</v>
      </c>
      <c r="L64" s="205">
        <f t="shared" si="88"/>
        <v>0</v>
      </c>
      <c r="M64" s="205">
        <f t="shared" si="90"/>
        <v>0</v>
      </c>
      <c r="N64" s="205">
        <f t="shared" si="90"/>
        <v>0</v>
      </c>
      <c r="O64" s="205">
        <f t="shared" si="90"/>
        <v>0</v>
      </c>
      <c r="P64" s="205">
        <f t="shared" si="90"/>
        <v>0</v>
      </c>
      <c r="Q64" s="205">
        <f t="shared" si="90"/>
        <v>0</v>
      </c>
      <c r="R64" s="205">
        <f t="shared" si="90"/>
        <v>0</v>
      </c>
      <c r="S64" s="205">
        <f t="shared" si="90"/>
        <v>0</v>
      </c>
      <c r="T64" s="205">
        <f t="shared" si="90"/>
        <v>0</v>
      </c>
      <c r="U64" s="205">
        <f t="shared" si="90"/>
        <v>0</v>
      </c>
      <c r="V64" s="205">
        <f t="shared" si="90"/>
        <v>0</v>
      </c>
      <c r="W64" s="205">
        <f t="shared" si="90"/>
        <v>0</v>
      </c>
      <c r="X64" s="205">
        <f t="shared" si="90"/>
        <v>0</v>
      </c>
      <c r="Y64" s="205">
        <f t="shared" si="90"/>
        <v>0</v>
      </c>
      <c r="Z64" s="205">
        <f t="shared" si="90"/>
        <v>0</v>
      </c>
      <c r="AA64" s="205">
        <f t="shared" si="90"/>
        <v>0</v>
      </c>
      <c r="AB64" s="205">
        <f t="shared" si="90"/>
        <v>0</v>
      </c>
      <c r="AC64" s="205">
        <f t="shared" si="90"/>
        <v>0</v>
      </c>
      <c r="AD64" s="205">
        <f t="shared" si="90"/>
        <v>0</v>
      </c>
      <c r="AE64" s="205">
        <f t="shared" si="90"/>
        <v>0</v>
      </c>
      <c r="AF64" s="205">
        <f t="shared" si="90"/>
        <v>0</v>
      </c>
      <c r="AG64" s="205">
        <f t="shared" si="90"/>
        <v>0</v>
      </c>
      <c r="AH64" s="205">
        <f t="shared" si="90"/>
        <v>0</v>
      </c>
      <c r="AI64" s="205">
        <f t="shared" si="90"/>
        <v>0</v>
      </c>
      <c r="AJ64" s="205">
        <f t="shared" si="90"/>
        <v>0</v>
      </c>
      <c r="AK64" s="205">
        <f t="shared" si="90"/>
        <v>0</v>
      </c>
      <c r="AL64" s="205">
        <f t="shared" si="90"/>
        <v>0</v>
      </c>
      <c r="AM64" s="205">
        <f t="shared" si="90"/>
        <v>0</v>
      </c>
      <c r="AN64" s="205">
        <f t="shared" si="90"/>
        <v>0</v>
      </c>
      <c r="AO64" s="205">
        <f t="shared" si="90"/>
        <v>0</v>
      </c>
      <c r="AP64" s="205">
        <f t="shared" si="90"/>
        <v>0</v>
      </c>
      <c r="AQ64" s="205">
        <f t="shared" si="90"/>
        <v>0</v>
      </c>
      <c r="AR64" s="205">
        <f t="shared" si="90"/>
        <v>0</v>
      </c>
      <c r="AS64" s="205">
        <f t="shared" si="90"/>
        <v>0</v>
      </c>
      <c r="AT64" s="205">
        <f t="shared" si="90"/>
        <v>0</v>
      </c>
      <c r="AU64" s="205">
        <f t="shared" si="90"/>
        <v>0</v>
      </c>
      <c r="AV64" s="205">
        <f t="shared" si="90"/>
        <v>0</v>
      </c>
      <c r="AW64" s="205">
        <f t="shared" si="90"/>
        <v>0</v>
      </c>
      <c r="AX64" s="205">
        <f t="shared" si="90"/>
        <v>0</v>
      </c>
      <c r="AY64" s="205">
        <f t="shared" si="90"/>
        <v>0</v>
      </c>
      <c r="AZ64" s="205">
        <f t="shared" si="90"/>
        <v>0</v>
      </c>
      <c r="BA64" s="205">
        <f t="shared" si="90"/>
        <v>0</v>
      </c>
      <c r="BB64" s="205">
        <f t="shared" si="90"/>
        <v>0</v>
      </c>
      <c r="BC64" s="205">
        <f t="shared" si="90"/>
        <v>0</v>
      </c>
      <c r="BD64" s="205">
        <f t="shared" si="90"/>
        <v>0</v>
      </c>
      <c r="BE64" s="205">
        <f t="shared" si="90"/>
        <v>0</v>
      </c>
      <c r="BF64" s="205">
        <f t="shared" si="90"/>
        <v>0</v>
      </c>
      <c r="BG64" s="205">
        <f t="shared" si="90"/>
        <v>0</v>
      </c>
      <c r="BH64" s="205">
        <f t="shared" si="90"/>
        <v>0</v>
      </c>
      <c r="BI64" s="205">
        <f t="shared" si="90"/>
        <v>0</v>
      </c>
      <c r="BJ64" s="205">
        <f t="shared" si="90"/>
        <v>0</v>
      </c>
      <c r="BK64" s="205">
        <f t="shared" si="90"/>
        <v>0</v>
      </c>
      <c r="BL64" s="205">
        <f t="shared" si="90"/>
        <v>0</v>
      </c>
      <c r="BM64" s="205">
        <f t="shared" si="90"/>
        <v>0</v>
      </c>
      <c r="BN64" s="205">
        <f t="shared" si="90"/>
        <v>0</v>
      </c>
      <c r="BO64" s="205">
        <f t="shared" si="90"/>
        <v>0</v>
      </c>
      <c r="BP64" s="205">
        <f t="shared" si="90"/>
        <v>0</v>
      </c>
      <c r="BQ64" s="205">
        <f t="shared" si="90"/>
        <v>0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5">
        <f t="shared" si="91"/>
        <v>0</v>
      </c>
      <c r="BT64" s="205">
        <f t="shared" si="91"/>
        <v>0</v>
      </c>
      <c r="BU64" s="205">
        <f t="shared" si="91"/>
        <v>0</v>
      </c>
      <c r="BV64" s="205">
        <f t="shared" si="91"/>
        <v>0</v>
      </c>
      <c r="BW64" s="205">
        <f t="shared" si="91"/>
        <v>0</v>
      </c>
      <c r="BX64" s="205">
        <f t="shared" si="91"/>
        <v>0</v>
      </c>
      <c r="BY64" s="205">
        <f t="shared" si="91"/>
        <v>0</v>
      </c>
      <c r="BZ64" s="205">
        <f t="shared" si="91"/>
        <v>0</v>
      </c>
      <c r="CA64" s="205">
        <f t="shared" si="91"/>
        <v>0</v>
      </c>
      <c r="CB64" s="205">
        <f t="shared" si="91"/>
        <v>0</v>
      </c>
      <c r="CC64" s="205">
        <f t="shared" si="91"/>
        <v>0</v>
      </c>
      <c r="CD64" s="205">
        <f t="shared" si="91"/>
        <v>0</v>
      </c>
      <c r="CE64" s="205">
        <f t="shared" si="91"/>
        <v>0</v>
      </c>
      <c r="CF64" s="205">
        <f t="shared" si="91"/>
        <v>0</v>
      </c>
      <c r="CG64" s="205">
        <f t="shared" si="91"/>
        <v>0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0</v>
      </c>
      <c r="CX64" s="205">
        <f t="shared" si="91"/>
        <v>0</v>
      </c>
      <c r="CY64" s="205">
        <f t="shared" si="91"/>
        <v>52.189999999999884</v>
      </c>
      <c r="CZ64" s="205">
        <f t="shared" si="91"/>
        <v>104.37999999999977</v>
      </c>
      <c r="DA64" s="205">
        <f t="shared" si="91"/>
        <v>156.56999999999965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9858.2400000000016</v>
      </c>
      <c r="G65" s="205">
        <f t="shared" si="92"/>
        <v>9858.2400000000016</v>
      </c>
      <c r="H65" s="205">
        <f t="shared" si="92"/>
        <v>9858.2400000000016</v>
      </c>
      <c r="I65" s="205">
        <f t="shared" si="92"/>
        <v>9858.2400000000016</v>
      </c>
      <c r="J65" s="205">
        <f t="shared" si="92"/>
        <v>9858.2400000000016</v>
      </c>
      <c r="K65" s="205">
        <f t="shared" si="92"/>
        <v>9858.2400000000016</v>
      </c>
      <c r="L65" s="205">
        <f t="shared" si="88"/>
        <v>9858.2400000000016</v>
      </c>
      <c r="M65" s="205">
        <f t="shared" si="92"/>
        <v>9858.2400000000016</v>
      </c>
      <c r="N65" s="205">
        <f t="shared" si="92"/>
        <v>9858.2400000000016</v>
      </c>
      <c r="O65" s="205">
        <f t="shared" si="92"/>
        <v>9858.2400000000016</v>
      </c>
      <c r="P65" s="205">
        <f t="shared" si="92"/>
        <v>9858.2400000000016</v>
      </c>
      <c r="Q65" s="205">
        <f t="shared" si="92"/>
        <v>9858.2400000000016</v>
      </c>
      <c r="R65" s="205">
        <f t="shared" si="92"/>
        <v>9858.2400000000016</v>
      </c>
      <c r="S65" s="205">
        <f t="shared" si="92"/>
        <v>9858.2400000000016</v>
      </c>
      <c r="T65" s="205">
        <f t="shared" si="92"/>
        <v>9858.2400000000016</v>
      </c>
      <c r="U65" s="205">
        <f t="shared" si="92"/>
        <v>9858.2400000000016</v>
      </c>
      <c r="V65" s="205">
        <f t="shared" si="92"/>
        <v>9858.2400000000016</v>
      </c>
      <c r="W65" s="205">
        <f t="shared" si="92"/>
        <v>9858.2400000000016</v>
      </c>
      <c r="X65" s="205">
        <f t="shared" si="92"/>
        <v>9858.2400000000016</v>
      </c>
      <c r="Y65" s="205">
        <f t="shared" si="92"/>
        <v>9858.2400000000016</v>
      </c>
      <c r="Z65" s="205">
        <f t="shared" si="92"/>
        <v>9858.2400000000016</v>
      </c>
      <c r="AA65" s="205">
        <f t="shared" si="92"/>
        <v>9982.7416216216225</v>
      </c>
      <c r="AB65" s="205">
        <f t="shared" si="92"/>
        <v>10107.243243243245</v>
      </c>
      <c r="AC65" s="205">
        <f t="shared" si="92"/>
        <v>10231.744864864866</v>
      </c>
      <c r="AD65" s="205">
        <f t="shared" si="92"/>
        <v>10356.246486486489</v>
      </c>
      <c r="AE65" s="205">
        <f t="shared" si="92"/>
        <v>10480.74810810811</v>
      </c>
      <c r="AF65" s="205">
        <f t="shared" si="92"/>
        <v>10605.249729729732</v>
      </c>
      <c r="AG65" s="205">
        <f t="shared" si="92"/>
        <v>10729.751351351353</v>
      </c>
      <c r="AH65" s="205">
        <f t="shared" si="92"/>
        <v>10854.252972972974</v>
      </c>
      <c r="AI65" s="205">
        <f t="shared" si="92"/>
        <v>10978.754594594597</v>
      </c>
      <c r="AJ65" s="205">
        <f t="shared" si="92"/>
        <v>11103.256216216218</v>
      </c>
      <c r="AK65" s="205">
        <f t="shared" si="92"/>
        <v>11227.75783783784</v>
      </c>
      <c r="AL65" s="205">
        <f t="shared" si="92"/>
        <v>11352.259459459461</v>
      </c>
      <c r="AM65" s="205">
        <f t="shared" si="92"/>
        <v>11476.761081081084</v>
      </c>
      <c r="AN65" s="205">
        <f t="shared" si="92"/>
        <v>11601.262702702705</v>
      </c>
      <c r="AO65" s="205">
        <f t="shared" si="92"/>
        <v>11725.764324324326</v>
      </c>
      <c r="AP65" s="205">
        <f t="shared" si="92"/>
        <v>11850.265945945948</v>
      </c>
      <c r="AQ65" s="205">
        <f t="shared" si="92"/>
        <v>11974.767567567569</v>
      </c>
      <c r="AR65" s="205">
        <f t="shared" si="92"/>
        <v>12099.269189189192</v>
      </c>
      <c r="AS65" s="205">
        <f t="shared" si="92"/>
        <v>12223.770810810813</v>
      </c>
      <c r="AT65" s="205">
        <f t="shared" si="92"/>
        <v>12348.272432432434</v>
      </c>
      <c r="AU65" s="205">
        <f t="shared" si="92"/>
        <v>12472.774054054056</v>
      </c>
      <c r="AV65" s="205">
        <f t="shared" si="92"/>
        <v>12597.275675675679</v>
      </c>
      <c r="AW65" s="205">
        <f t="shared" si="92"/>
        <v>12721.7772972973</v>
      </c>
      <c r="AX65" s="205">
        <f t="shared" si="92"/>
        <v>12846.278918918921</v>
      </c>
      <c r="AY65" s="205">
        <f t="shared" si="92"/>
        <v>12970.780540540543</v>
      </c>
      <c r="AZ65" s="205">
        <f t="shared" si="92"/>
        <v>13095.282162162164</v>
      </c>
      <c r="BA65" s="205">
        <f t="shared" si="92"/>
        <v>13219.783783783787</v>
      </c>
      <c r="BB65" s="205">
        <f t="shared" si="92"/>
        <v>13344.285405405408</v>
      </c>
      <c r="BC65" s="205">
        <f t="shared" si="92"/>
        <v>13468.787027027029</v>
      </c>
      <c r="BD65" s="205">
        <f t="shared" si="92"/>
        <v>13593.288648648651</v>
      </c>
      <c r="BE65" s="205">
        <f t="shared" si="92"/>
        <v>13717.790270270272</v>
      </c>
      <c r="BF65" s="205">
        <f t="shared" si="92"/>
        <v>13842.291891891895</v>
      </c>
      <c r="BG65" s="205">
        <f t="shared" si="92"/>
        <v>13966.793513513516</v>
      </c>
      <c r="BH65" s="205">
        <f t="shared" si="92"/>
        <v>14091.295135135137</v>
      </c>
      <c r="BI65" s="205">
        <f t="shared" si="92"/>
        <v>14215.796756756759</v>
      </c>
      <c r="BJ65" s="205">
        <f t="shared" si="92"/>
        <v>14340.298378378382</v>
      </c>
      <c r="BK65" s="205">
        <f t="shared" si="92"/>
        <v>14464.800000000003</v>
      </c>
      <c r="BL65" s="205">
        <f t="shared" si="92"/>
        <v>13940.769230769234</v>
      </c>
      <c r="BM65" s="205">
        <f t="shared" si="92"/>
        <v>13416.738461538464</v>
      </c>
      <c r="BN65" s="205">
        <f t="shared" si="92"/>
        <v>12892.707692307695</v>
      </c>
      <c r="BO65" s="205">
        <f t="shared" si="92"/>
        <v>12368.676923076926</v>
      </c>
      <c r="BP65" s="205">
        <f t="shared" si="92"/>
        <v>11844.646153846155</v>
      </c>
      <c r="BQ65" s="205">
        <f t="shared" si="92"/>
        <v>11320.615384615387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10796.584615384618</v>
      </c>
      <c r="BS65" s="205">
        <f t="shared" si="93"/>
        <v>10272.553846153849</v>
      </c>
      <c r="BT65" s="205">
        <f t="shared" si="93"/>
        <v>9748.5230769230784</v>
      </c>
      <c r="BU65" s="205">
        <f t="shared" si="93"/>
        <v>9224.4923076923096</v>
      </c>
      <c r="BV65" s="205">
        <f t="shared" si="93"/>
        <v>8700.461538461539</v>
      </c>
      <c r="BW65" s="205">
        <f t="shared" si="93"/>
        <v>8176.4307692307702</v>
      </c>
      <c r="BX65" s="205">
        <f t="shared" si="93"/>
        <v>7652.4000000000015</v>
      </c>
      <c r="BY65" s="205">
        <f t="shared" si="93"/>
        <v>7128.3692307692318</v>
      </c>
      <c r="BZ65" s="205">
        <f t="shared" si="93"/>
        <v>6604.338461538463</v>
      </c>
      <c r="CA65" s="205">
        <f t="shared" si="93"/>
        <v>6080.3076923076933</v>
      </c>
      <c r="CB65" s="205">
        <f t="shared" si="93"/>
        <v>5556.2769230769245</v>
      </c>
      <c r="CC65" s="205">
        <f t="shared" si="93"/>
        <v>5032.2461538461539</v>
      </c>
      <c r="CD65" s="205">
        <f t="shared" si="93"/>
        <v>4508.2153846153851</v>
      </c>
      <c r="CE65" s="205">
        <f t="shared" si="93"/>
        <v>3984.1846153846163</v>
      </c>
      <c r="CF65" s="205">
        <f t="shared" si="93"/>
        <v>3460.1538461538457</v>
      </c>
      <c r="CG65" s="205">
        <f t="shared" si="93"/>
        <v>2936.123076923077</v>
      </c>
      <c r="CH65" s="205">
        <f t="shared" si="93"/>
        <v>2412.0923076923082</v>
      </c>
      <c r="CI65" s="205">
        <f t="shared" si="93"/>
        <v>1888.0615384615376</v>
      </c>
      <c r="CJ65" s="205">
        <f t="shared" si="93"/>
        <v>1364.0307692307688</v>
      </c>
      <c r="CK65" s="205">
        <f t="shared" si="93"/>
        <v>840</v>
      </c>
      <c r="CL65" s="205">
        <f t="shared" si="93"/>
        <v>775.38461538461536</v>
      </c>
      <c r="CM65" s="205">
        <f t="shared" si="93"/>
        <v>710.76923076923072</v>
      </c>
      <c r="CN65" s="205">
        <f t="shared" si="93"/>
        <v>646.15384615384619</v>
      </c>
      <c r="CO65" s="205">
        <f t="shared" si="93"/>
        <v>581.53846153846155</v>
      </c>
      <c r="CP65" s="205">
        <f t="shared" si="93"/>
        <v>516.92307692307691</v>
      </c>
      <c r="CQ65" s="205">
        <f t="shared" si="93"/>
        <v>452.30769230769232</v>
      </c>
      <c r="CR65" s="205">
        <f t="shared" si="93"/>
        <v>387.69230769230774</v>
      </c>
      <c r="CS65" s="205">
        <f t="shared" si="93"/>
        <v>323.07692307692309</v>
      </c>
      <c r="CT65" s="205">
        <f t="shared" si="93"/>
        <v>258.46153846153845</v>
      </c>
      <c r="CU65" s="205">
        <f t="shared" si="93"/>
        <v>193.84615384615381</v>
      </c>
      <c r="CV65" s="205">
        <f t="shared" si="93"/>
        <v>129.23076923076928</v>
      </c>
      <c r="CW65" s="205">
        <f t="shared" si="93"/>
        <v>64.615384615384642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0</v>
      </c>
      <c r="BE66" s="205">
        <f t="shared" si="94"/>
        <v>0</v>
      </c>
      <c r="BF66" s="205">
        <f t="shared" si="94"/>
        <v>0</v>
      </c>
      <c r="BG66" s="205">
        <f t="shared" si="94"/>
        <v>0</v>
      </c>
      <c r="BH66" s="205">
        <f t="shared" si="94"/>
        <v>0</v>
      </c>
      <c r="BI66" s="205">
        <f t="shared" si="94"/>
        <v>0</v>
      </c>
      <c r="BJ66" s="205">
        <f t="shared" si="94"/>
        <v>0</v>
      </c>
      <c r="BK66" s="205">
        <f t="shared" si="94"/>
        <v>0</v>
      </c>
      <c r="BL66" s="205">
        <f t="shared" si="94"/>
        <v>3437.5384615384619</v>
      </c>
      <c r="BM66" s="205">
        <f t="shared" si="94"/>
        <v>6875.0769230769238</v>
      </c>
      <c r="BN66" s="205">
        <f t="shared" si="94"/>
        <v>10312.615384615387</v>
      </c>
      <c r="BO66" s="205">
        <f t="shared" si="94"/>
        <v>13750.153846153848</v>
      </c>
      <c r="BP66" s="205">
        <f t="shared" si="94"/>
        <v>17187.692307692309</v>
      </c>
      <c r="BQ66" s="205">
        <f t="shared" si="94"/>
        <v>20625.230769230773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24062.769230769234</v>
      </c>
      <c r="BS66" s="205">
        <f t="shared" si="95"/>
        <v>27500.307692307695</v>
      </c>
      <c r="BT66" s="205">
        <f t="shared" si="95"/>
        <v>30937.846153846156</v>
      </c>
      <c r="BU66" s="205">
        <f t="shared" si="95"/>
        <v>34375.384615384617</v>
      </c>
      <c r="BV66" s="205">
        <f t="shared" si="95"/>
        <v>37812.923076923078</v>
      </c>
      <c r="BW66" s="205">
        <f t="shared" si="95"/>
        <v>41250.461538461546</v>
      </c>
      <c r="BX66" s="205">
        <f t="shared" si="95"/>
        <v>44688.000000000007</v>
      </c>
      <c r="BY66" s="205">
        <f t="shared" si="95"/>
        <v>48125.538461538468</v>
      </c>
      <c r="BZ66" s="205">
        <f t="shared" si="95"/>
        <v>51563.076923076929</v>
      </c>
      <c r="CA66" s="205">
        <f t="shared" si="95"/>
        <v>55000.61538461539</v>
      </c>
      <c r="CB66" s="205">
        <f t="shared" si="95"/>
        <v>58438.153846153851</v>
      </c>
      <c r="CC66" s="205">
        <f t="shared" si="95"/>
        <v>61875.692307692312</v>
      </c>
      <c r="CD66" s="205">
        <f t="shared" si="95"/>
        <v>65313.230769230773</v>
      </c>
      <c r="CE66" s="205">
        <f t="shared" si="95"/>
        <v>68750.769230769234</v>
      </c>
      <c r="CF66" s="205">
        <f t="shared" si="95"/>
        <v>72188.307692307702</v>
      </c>
      <c r="CG66" s="205">
        <f t="shared" si="95"/>
        <v>75625.846153846156</v>
      </c>
      <c r="CH66" s="205">
        <f t="shared" si="95"/>
        <v>79063.384615384624</v>
      </c>
      <c r="CI66" s="205">
        <f t="shared" si="95"/>
        <v>82500.923076923093</v>
      </c>
      <c r="CJ66" s="205">
        <f t="shared" si="95"/>
        <v>85938.461538461546</v>
      </c>
      <c r="CK66" s="205">
        <f t="shared" si="95"/>
        <v>89376.000000000015</v>
      </c>
      <c r="CL66" s="205">
        <f t="shared" si="95"/>
        <v>109794.46153846156</v>
      </c>
      <c r="CM66" s="205">
        <f t="shared" si="95"/>
        <v>130212.92307692309</v>
      </c>
      <c r="CN66" s="205">
        <f t="shared" si="95"/>
        <v>150631.38461538462</v>
      </c>
      <c r="CO66" s="205">
        <f t="shared" si="95"/>
        <v>171049.84615384619</v>
      </c>
      <c r="CP66" s="205">
        <f t="shared" si="95"/>
        <v>191468.30769230769</v>
      </c>
      <c r="CQ66" s="205">
        <f t="shared" si="95"/>
        <v>211886.76923076925</v>
      </c>
      <c r="CR66" s="205">
        <f t="shared" si="95"/>
        <v>232305.23076923081</v>
      </c>
      <c r="CS66" s="205">
        <f t="shared" si="95"/>
        <v>252723.69230769231</v>
      </c>
      <c r="CT66" s="205">
        <f t="shared" si="95"/>
        <v>273142.15384615387</v>
      </c>
      <c r="CU66" s="205">
        <f t="shared" si="95"/>
        <v>293560.61538461538</v>
      </c>
      <c r="CV66" s="205">
        <f t="shared" si="95"/>
        <v>313979.07692307694</v>
      </c>
      <c r="CW66" s="205">
        <f t="shared" si="95"/>
        <v>334397.5384615385</v>
      </c>
      <c r="CX66" s="205">
        <f t="shared" si="95"/>
        <v>354816</v>
      </c>
      <c r="CY66" s="205">
        <f t="shared" si="95"/>
        <v>357487.7</v>
      </c>
      <c r="CZ66" s="205">
        <f t="shared" si="95"/>
        <v>360159.4</v>
      </c>
      <c r="DA66" s="205">
        <f t="shared" si="95"/>
        <v>362831.1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6773.76</v>
      </c>
      <c r="G67" s="205">
        <f t="shared" si="96"/>
        <v>6773.76</v>
      </c>
      <c r="H67" s="205">
        <f t="shared" si="96"/>
        <v>6773.76</v>
      </c>
      <c r="I67" s="205">
        <f t="shared" si="96"/>
        <v>6773.76</v>
      </c>
      <c r="J67" s="205">
        <f t="shared" si="96"/>
        <v>6773.76</v>
      </c>
      <c r="K67" s="205">
        <f t="shared" si="96"/>
        <v>6773.76</v>
      </c>
      <c r="L67" s="205">
        <f t="shared" si="88"/>
        <v>6773.76</v>
      </c>
      <c r="M67" s="205">
        <f t="shared" si="96"/>
        <v>6773.76</v>
      </c>
      <c r="N67" s="205">
        <f t="shared" si="96"/>
        <v>6773.76</v>
      </c>
      <c r="O67" s="205">
        <f t="shared" si="96"/>
        <v>6773.76</v>
      </c>
      <c r="P67" s="205">
        <f t="shared" si="96"/>
        <v>6773.76</v>
      </c>
      <c r="Q67" s="205">
        <f t="shared" si="96"/>
        <v>6773.76</v>
      </c>
      <c r="R67" s="205">
        <f t="shared" si="96"/>
        <v>6773.76</v>
      </c>
      <c r="S67" s="205">
        <f t="shared" si="96"/>
        <v>6773.76</v>
      </c>
      <c r="T67" s="205">
        <f t="shared" si="96"/>
        <v>6773.76</v>
      </c>
      <c r="U67" s="205">
        <f t="shared" si="96"/>
        <v>6773.76</v>
      </c>
      <c r="V67" s="205">
        <f t="shared" si="96"/>
        <v>6773.76</v>
      </c>
      <c r="W67" s="205">
        <f t="shared" si="96"/>
        <v>6773.76</v>
      </c>
      <c r="X67" s="205">
        <f t="shared" si="96"/>
        <v>6773.76</v>
      </c>
      <c r="Y67" s="205">
        <f t="shared" si="96"/>
        <v>6773.76</v>
      </c>
      <c r="Z67" s="205">
        <f t="shared" si="96"/>
        <v>6773.76</v>
      </c>
      <c r="AA67" s="205">
        <f t="shared" si="96"/>
        <v>6743.2475675675678</v>
      </c>
      <c r="AB67" s="205">
        <f t="shared" si="96"/>
        <v>6712.7351351351354</v>
      </c>
      <c r="AC67" s="205">
        <f t="shared" si="96"/>
        <v>6682.2227027027029</v>
      </c>
      <c r="AD67" s="205">
        <f t="shared" si="96"/>
        <v>6651.7102702702705</v>
      </c>
      <c r="AE67" s="205">
        <f t="shared" si="96"/>
        <v>6621.1978378378381</v>
      </c>
      <c r="AF67" s="205">
        <f t="shared" si="96"/>
        <v>6590.6854054054056</v>
      </c>
      <c r="AG67" s="205">
        <f t="shared" si="96"/>
        <v>6560.1729729729732</v>
      </c>
      <c r="AH67" s="205">
        <f t="shared" si="96"/>
        <v>6529.6605405405408</v>
      </c>
      <c r="AI67" s="205">
        <f t="shared" si="96"/>
        <v>6499.1481081081083</v>
      </c>
      <c r="AJ67" s="205">
        <f t="shared" si="96"/>
        <v>6468.6356756756759</v>
      </c>
      <c r="AK67" s="205">
        <f t="shared" si="96"/>
        <v>6438.1232432432435</v>
      </c>
      <c r="AL67" s="205">
        <f t="shared" si="96"/>
        <v>6407.610810810811</v>
      </c>
      <c r="AM67" s="205">
        <f t="shared" si="96"/>
        <v>6377.0983783783786</v>
      </c>
      <c r="AN67" s="205">
        <f t="shared" si="96"/>
        <v>6346.5859459459462</v>
      </c>
      <c r="AO67" s="205">
        <f t="shared" si="96"/>
        <v>6316.0735135135137</v>
      </c>
      <c r="AP67" s="205">
        <f t="shared" si="96"/>
        <v>6285.5610810810813</v>
      </c>
      <c r="AQ67" s="205">
        <f t="shared" si="96"/>
        <v>6255.0486486486489</v>
      </c>
      <c r="AR67" s="205">
        <f t="shared" si="96"/>
        <v>6224.5362162162164</v>
      </c>
      <c r="AS67" s="205">
        <f t="shared" si="96"/>
        <v>6194.023783783784</v>
      </c>
      <c r="AT67" s="205">
        <f t="shared" si="96"/>
        <v>6163.5113513513515</v>
      </c>
      <c r="AU67" s="205">
        <f t="shared" si="96"/>
        <v>6132.9989189189191</v>
      </c>
      <c r="AV67" s="205">
        <f t="shared" si="96"/>
        <v>6102.4864864864867</v>
      </c>
      <c r="AW67" s="205">
        <f t="shared" si="96"/>
        <v>6071.9740540540542</v>
      </c>
      <c r="AX67" s="205">
        <f t="shared" si="96"/>
        <v>6041.4616216216218</v>
      </c>
      <c r="AY67" s="205">
        <f t="shared" si="96"/>
        <v>6010.9491891891894</v>
      </c>
      <c r="AZ67" s="205">
        <f t="shared" si="96"/>
        <v>5980.4367567567569</v>
      </c>
      <c r="BA67" s="205">
        <f t="shared" si="96"/>
        <v>5949.9243243243245</v>
      </c>
      <c r="BB67" s="205">
        <f t="shared" si="96"/>
        <v>5919.4118918918921</v>
      </c>
      <c r="BC67" s="205">
        <f t="shared" si="96"/>
        <v>5888.8994594594596</v>
      </c>
      <c r="BD67" s="205">
        <f t="shared" si="96"/>
        <v>5858.3870270270272</v>
      </c>
      <c r="BE67" s="205">
        <f t="shared" si="96"/>
        <v>5827.8745945945948</v>
      </c>
      <c r="BF67" s="205">
        <f t="shared" si="96"/>
        <v>5797.3621621621623</v>
      </c>
      <c r="BG67" s="205">
        <f t="shared" si="96"/>
        <v>5766.8497297297299</v>
      </c>
      <c r="BH67" s="205">
        <f t="shared" si="96"/>
        <v>5736.3372972972975</v>
      </c>
      <c r="BI67" s="205">
        <f t="shared" si="96"/>
        <v>5705.824864864865</v>
      </c>
      <c r="BJ67" s="205">
        <f t="shared" si="96"/>
        <v>5675.3124324324326</v>
      </c>
      <c r="BK67" s="205">
        <f t="shared" si="96"/>
        <v>5644.8</v>
      </c>
      <c r="BL67" s="205">
        <f t="shared" si="96"/>
        <v>6742.4000000000005</v>
      </c>
      <c r="BM67" s="205">
        <f t="shared" si="96"/>
        <v>7840</v>
      </c>
      <c r="BN67" s="205">
        <f t="shared" si="96"/>
        <v>8937.6</v>
      </c>
      <c r="BO67" s="205">
        <f t="shared" si="96"/>
        <v>10035.200000000001</v>
      </c>
      <c r="BP67" s="205">
        <f t="shared" si="96"/>
        <v>11132.800000000001</v>
      </c>
      <c r="BQ67" s="205">
        <f t="shared" si="96"/>
        <v>12230.400000000001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13328</v>
      </c>
      <c r="BS67" s="205">
        <f t="shared" si="97"/>
        <v>14425.600000000002</v>
      </c>
      <c r="BT67" s="205">
        <f t="shared" si="97"/>
        <v>15523.2</v>
      </c>
      <c r="BU67" s="205">
        <f t="shared" si="97"/>
        <v>16620.800000000003</v>
      </c>
      <c r="BV67" s="205">
        <f t="shared" si="97"/>
        <v>17718.400000000001</v>
      </c>
      <c r="BW67" s="205">
        <f t="shared" si="97"/>
        <v>18816</v>
      </c>
      <c r="BX67" s="205">
        <f t="shared" si="97"/>
        <v>19913.600000000002</v>
      </c>
      <c r="BY67" s="205">
        <f t="shared" si="97"/>
        <v>21011.200000000001</v>
      </c>
      <c r="BZ67" s="205">
        <f t="shared" si="97"/>
        <v>22108.800000000003</v>
      </c>
      <c r="CA67" s="205">
        <f t="shared" si="97"/>
        <v>23206.400000000001</v>
      </c>
      <c r="CB67" s="205">
        <f t="shared" si="97"/>
        <v>24304</v>
      </c>
      <c r="CC67" s="205">
        <f t="shared" si="97"/>
        <v>25401.600000000002</v>
      </c>
      <c r="CD67" s="205">
        <f t="shared" si="97"/>
        <v>26499.200000000001</v>
      </c>
      <c r="CE67" s="205">
        <f t="shared" si="97"/>
        <v>27596.800000000003</v>
      </c>
      <c r="CF67" s="205">
        <f t="shared" si="97"/>
        <v>28694.400000000001</v>
      </c>
      <c r="CG67" s="205">
        <f t="shared" si="97"/>
        <v>29792.000000000004</v>
      </c>
      <c r="CH67" s="205">
        <f t="shared" si="97"/>
        <v>30889.600000000002</v>
      </c>
      <c r="CI67" s="205">
        <f t="shared" si="97"/>
        <v>31987.200000000001</v>
      </c>
      <c r="CJ67" s="205">
        <f t="shared" si="97"/>
        <v>33084.800000000003</v>
      </c>
      <c r="CK67" s="205">
        <f t="shared" si="97"/>
        <v>34182.400000000001</v>
      </c>
      <c r="CL67" s="205">
        <f t="shared" si="97"/>
        <v>31552.984615384616</v>
      </c>
      <c r="CM67" s="205">
        <f t="shared" si="97"/>
        <v>28923.56923076923</v>
      </c>
      <c r="CN67" s="205">
        <f t="shared" si="97"/>
        <v>26294.153846153848</v>
      </c>
      <c r="CO67" s="205">
        <f t="shared" si="97"/>
        <v>23664.738461538462</v>
      </c>
      <c r="CP67" s="205">
        <f t="shared" si="97"/>
        <v>21035.323076923076</v>
      </c>
      <c r="CQ67" s="205">
        <f t="shared" si="97"/>
        <v>18405.907692307694</v>
      </c>
      <c r="CR67" s="205">
        <f t="shared" si="97"/>
        <v>15776.492307692308</v>
      </c>
      <c r="CS67" s="205">
        <f t="shared" si="97"/>
        <v>13147.076923076922</v>
      </c>
      <c r="CT67" s="205">
        <f t="shared" si="97"/>
        <v>10517.661538461536</v>
      </c>
      <c r="CU67" s="205">
        <f t="shared" si="97"/>
        <v>7888.2461538461503</v>
      </c>
      <c r="CV67" s="205">
        <f t="shared" si="97"/>
        <v>5258.8307692307681</v>
      </c>
      <c r="CW67" s="205">
        <f t="shared" si="97"/>
        <v>2629.4153846153822</v>
      </c>
      <c r="CX67" s="205">
        <f t="shared" si="97"/>
        <v>0</v>
      </c>
      <c r="CY67" s="205">
        <f t="shared" si="97"/>
        <v>829.53</v>
      </c>
      <c r="CZ67" s="205">
        <f t="shared" si="97"/>
        <v>1659.06</v>
      </c>
      <c r="DA67" s="205">
        <f t="shared" si="97"/>
        <v>2488.59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108.97297297297298</v>
      </c>
      <c r="AB68" s="205">
        <f t="shared" si="98"/>
        <v>217.94594594594597</v>
      </c>
      <c r="AC68" s="205">
        <f t="shared" si="98"/>
        <v>326.91891891891896</v>
      </c>
      <c r="AD68" s="205">
        <f t="shared" si="98"/>
        <v>435.89189189189193</v>
      </c>
      <c r="AE68" s="205">
        <f t="shared" si="98"/>
        <v>544.8648648648649</v>
      </c>
      <c r="AF68" s="205">
        <f t="shared" si="98"/>
        <v>653.83783783783792</v>
      </c>
      <c r="AG68" s="205">
        <f t="shared" si="98"/>
        <v>762.81081081081084</v>
      </c>
      <c r="AH68" s="205">
        <f t="shared" si="98"/>
        <v>871.78378378378386</v>
      </c>
      <c r="AI68" s="205">
        <f t="shared" si="98"/>
        <v>980.75675675675689</v>
      </c>
      <c r="AJ68" s="205">
        <f t="shared" si="98"/>
        <v>1089.7297297297298</v>
      </c>
      <c r="AK68" s="205">
        <f t="shared" si="98"/>
        <v>1198.7027027027027</v>
      </c>
      <c r="AL68" s="205">
        <f t="shared" si="98"/>
        <v>1307.6756756756758</v>
      </c>
      <c r="AM68" s="205">
        <f t="shared" si="98"/>
        <v>1416.6486486486488</v>
      </c>
      <c r="AN68" s="205">
        <f t="shared" si="98"/>
        <v>1525.6216216216217</v>
      </c>
      <c r="AO68" s="205">
        <f t="shared" si="98"/>
        <v>1634.5945945945948</v>
      </c>
      <c r="AP68" s="205">
        <f t="shared" si="98"/>
        <v>1743.5675675675677</v>
      </c>
      <c r="AQ68" s="205">
        <f t="shared" si="98"/>
        <v>1852.5405405405406</v>
      </c>
      <c r="AR68" s="205">
        <f t="shared" si="98"/>
        <v>1961.5135135135138</v>
      </c>
      <c r="AS68" s="205">
        <f t="shared" si="98"/>
        <v>2070.4864864864867</v>
      </c>
      <c r="AT68" s="205">
        <f t="shared" si="98"/>
        <v>2179.4594594594596</v>
      </c>
      <c r="AU68" s="205">
        <f t="shared" si="98"/>
        <v>2288.4324324324325</v>
      </c>
      <c r="AV68" s="205">
        <f t="shared" si="98"/>
        <v>2397.4054054054054</v>
      </c>
      <c r="AW68" s="205">
        <f t="shared" si="98"/>
        <v>2506.3783783783788</v>
      </c>
      <c r="AX68" s="205">
        <f t="shared" si="98"/>
        <v>2615.3513513513517</v>
      </c>
      <c r="AY68" s="205">
        <f t="shared" si="98"/>
        <v>2724.3243243243246</v>
      </c>
      <c r="AZ68" s="205">
        <f t="shared" si="98"/>
        <v>2833.2972972972975</v>
      </c>
      <c r="BA68" s="205">
        <f t="shared" si="98"/>
        <v>2942.2702702702704</v>
      </c>
      <c r="BB68" s="205">
        <f t="shared" si="98"/>
        <v>3051.2432432432433</v>
      </c>
      <c r="BC68" s="205">
        <f t="shared" si="98"/>
        <v>3160.2162162162167</v>
      </c>
      <c r="BD68" s="205">
        <f t="shared" si="98"/>
        <v>3269.1891891891896</v>
      </c>
      <c r="BE68" s="205">
        <f t="shared" si="98"/>
        <v>3378.1621621621625</v>
      </c>
      <c r="BF68" s="205">
        <f t="shared" si="98"/>
        <v>3487.1351351351354</v>
      </c>
      <c r="BG68" s="205">
        <f t="shared" si="98"/>
        <v>3596.1081081081084</v>
      </c>
      <c r="BH68" s="205">
        <f t="shared" si="98"/>
        <v>3705.0810810810813</v>
      </c>
      <c r="BI68" s="205">
        <f t="shared" si="98"/>
        <v>3814.0540540540542</v>
      </c>
      <c r="BJ68" s="205">
        <f t="shared" si="98"/>
        <v>3923.0270270270275</v>
      </c>
      <c r="BK68" s="205">
        <f t="shared" si="98"/>
        <v>4032.0000000000005</v>
      </c>
      <c r="BL68" s="205">
        <f t="shared" si="98"/>
        <v>4140.5538461538463</v>
      </c>
      <c r="BM68" s="205">
        <f t="shared" si="98"/>
        <v>4249.1076923076926</v>
      </c>
      <c r="BN68" s="205">
        <f t="shared" si="98"/>
        <v>4357.6615384615388</v>
      </c>
      <c r="BO68" s="205">
        <f t="shared" si="98"/>
        <v>4466.2153846153851</v>
      </c>
      <c r="BP68" s="205">
        <f t="shared" si="98"/>
        <v>4574.7692307692314</v>
      </c>
      <c r="BQ68" s="205">
        <f t="shared" si="98"/>
        <v>4683.3230769230777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4791.876923076923</v>
      </c>
      <c r="BS68" s="205">
        <f t="shared" si="99"/>
        <v>4900.4307692307693</v>
      </c>
      <c r="BT68" s="205">
        <f t="shared" si="99"/>
        <v>5008.9846153846156</v>
      </c>
      <c r="BU68" s="205">
        <f t="shared" si="99"/>
        <v>5117.5384615384619</v>
      </c>
      <c r="BV68" s="205">
        <f t="shared" si="99"/>
        <v>5226.0923076923082</v>
      </c>
      <c r="BW68" s="205">
        <f t="shared" si="99"/>
        <v>5334.6461538461544</v>
      </c>
      <c r="BX68" s="205">
        <f t="shared" si="99"/>
        <v>5443.2000000000007</v>
      </c>
      <c r="BY68" s="205">
        <f t="shared" si="99"/>
        <v>5551.7538461538461</v>
      </c>
      <c r="BZ68" s="205">
        <f t="shared" si="99"/>
        <v>5660.3076923076933</v>
      </c>
      <c r="CA68" s="205">
        <f t="shared" si="99"/>
        <v>5768.8615384615387</v>
      </c>
      <c r="CB68" s="205">
        <f t="shared" si="99"/>
        <v>5877.4153846153849</v>
      </c>
      <c r="CC68" s="205">
        <f t="shared" si="99"/>
        <v>5985.9692307692312</v>
      </c>
      <c r="CD68" s="205">
        <f t="shared" si="99"/>
        <v>6094.5230769230775</v>
      </c>
      <c r="CE68" s="205">
        <f t="shared" si="99"/>
        <v>6203.0769230769238</v>
      </c>
      <c r="CF68" s="205">
        <f t="shared" si="99"/>
        <v>6311.6307692307691</v>
      </c>
      <c r="CG68" s="205">
        <f t="shared" si="99"/>
        <v>6420.1846153846163</v>
      </c>
      <c r="CH68" s="205">
        <f t="shared" si="99"/>
        <v>6528.7384615384617</v>
      </c>
      <c r="CI68" s="205">
        <f t="shared" si="99"/>
        <v>6637.292307692308</v>
      </c>
      <c r="CJ68" s="205">
        <f t="shared" si="99"/>
        <v>6745.8461538461543</v>
      </c>
      <c r="CK68" s="205">
        <f t="shared" si="99"/>
        <v>6854.4000000000005</v>
      </c>
      <c r="CL68" s="205">
        <f t="shared" si="99"/>
        <v>11165.538461538463</v>
      </c>
      <c r="CM68" s="205">
        <f t="shared" si="99"/>
        <v>15476.676923076924</v>
      </c>
      <c r="CN68" s="205">
        <f t="shared" si="99"/>
        <v>19787.815384615387</v>
      </c>
      <c r="CO68" s="205">
        <f t="shared" si="99"/>
        <v>24098.95384615385</v>
      </c>
      <c r="CP68" s="205">
        <f t="shared" si="99"/>
        <v>28410.092307692314</v>
      </c>
      <c r="CQ68" s="205">
        <f t="shared" si="99"/>
        <v>32721.230769230773</v>
      </c>
      <c r="CR68" s="205">
        <f t="shared" si="99"/>
        <v>37032.369230769233</v>
      </c>
      <c r="CS68" s="205">
        <f t="shared" si="99"/>
        <v>41343.507692307699</v>
      </c>
      <c r="CT68" s="205">
        <f t="shared" si="99"/>
        <v>45654.646153846159</v>
      </c>
      <c r="CU68" s="205">
        <f t="shared" si="99"/>
        <v>49965.784615384626</v>
      </c>
      <c r="CV68" s="205">
        <f t="shared" si="99"/>
        <v>54276.923076923085</v>
      </c>
      <c r="CW68" s="205">
        <f t="shared" si="99"/>
        <v>58588.061538461545</v>
      </c>
      <c r="CX68" s="205">
        <f t="shared" si="99"/>
        <v>62899.200000000012</v>
      </c>
      <c r="CY68" s="205">
        <f t="shared" si="99"/>
        <v>69102.700000000012</v>
      </c>
      <c r="CZ68" s="205">
        <f t="shared" si="99"/>
        <v>75306.200000000012</v>
      </c>
      <c r="DA68" s="205">
        <f t="shared" si="99"/>
        <v>81509.700000000012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0</v>
      </c>
      <c r="G69" s="205">
        <f t="shared" si="100"/>
        <v>0</v>
      </c>
      <c r="H69" s="205">
        <f t="shared" si="100"/>
        <v>0</v>
      </c>
      <c r="I69" s="205">
        <f t="shared" si="100"/>
        <v>0</v>
      </c>
      <c r="J69" s="205">
        <f t="shared" si="100"/>
        <v>0</v>
      </c>
      <c r="K69" s="205">
        <f t="shared" si="100"/>
        <v>0</v>
      </c>
      <c r="L69" s="205">
        <f t="shared" si="88"/>
        <v>0</v>
      </c>
      <c r="M69" s="205">
        <f t="shared" si="100"/>
        <v>0</v>
      </c>
      <c r="N69" s="205">
        <f t="shared" si="100"/>
        <v>0</v>
      </c>
      <c r="O69" s="205">
        <f t="shared" si="100"/>
        <v>0</v>
      </c>
      <c r="P69" s="205">
        <f t="shared" si="100"/>
        <v>0</v>
      </c>
      <c r="Q69" s="205">
        <f t="shared" si="100"/>
        <v>0</v>
      </c>
      <c r="R69" s="205">
        <f t="shared" si="100"/>
        <v>0</v>
      </c>
      <c r="S69" s="205">
        <f t="shared" si="100"/>
        <v>0</v>
      </c>
      <c r="T69" s="205">
        <f t="shared" si="100"/>
        <v>0</v>
      </c>
      <c r="U69" s="205">
        <f t="shared" si="100"/>
        <v>0</v>
      </c>
      <c r="V69" s="205">
        <f t="shared" si="100"/>
        <v>0</v>
      </c>
      <c r="W69" s="205">
        <f t="shared" si="100"/>
        <v>0</v>
      </c>
      <c r="X69" s="205">
        <f t="shared" si="100"/>
        <v>0</v>
      </c>
      <c r="Y69" s="205">
        <f t="shared" si="100"/>
        <v>0</v>
      </c>
      <c r="Z69" s="205">
        <f t="shared" si="100"/>
        <v>0</v>
      </c>
      <c r="AA69" s="205">
        <f t="shared" si="100"/>
        <v>0.5339525160519637</v>
      </c>
      <c r="AB69" s="205">
        <f t="shared" si="100"/>
        <v>1.0679050321039274</v>
      </c>
      <c r="AC69" s="205">
        <f t="shared" si="100"/>
        <v>1.6018575481558912</v>
      </c>
      <c r="AD69" s="205">
        <f t="shared" si="100"/>
        <v>2.1358100642078548</v>
      </c>
      <c r="AE69" s="205">
        <f t="shared" si="100"/>
        <v>2.6697625802598184</v>
      </c>
      <c r="AF69" s="205">
        <f t="shared" si="100"/>
        <v>3.2037150963117824</v>
      </c>
      <c r="AG69" s="205">
        <f t="shared" si="100"/>
        <v>3.737667612363746</v>
      </c>
      <c r="AH69" s="205">
        <f t="shared" si="100"/>
        <v>4.2716201284157096</v>
      </c>
      <c r="AI69" s="205">
        <f t="shared" si="100"/>
        <v>4.8055726444676736</v>
      </c>
      <c r="AJ69" s="205">
        <f t="shared" si="100"/>
        <v>5.3395251605196368</v>
      </c>
      <c r="AK69" s="205">
        <f t="shared" si="100"/>
        <v>5.8734776765716008</v>
      </c>
      <c r="AL69" s="205">
        <f t="shared" si="100"/>
        <v>6.4074301926235648</v>
      </c>
      <c r="AM69" s="205">
        <f t="shared" si="100"/>
        <v>6.941382708675528</v>
      </c>
      <c r="AN69" s="205">
        <f t="shared" si="100"/>
        <v>7.475335224727492</v>
      </c>
      <c r="AO69" s="205">
        <f t="shared" si="100"/>
        <v>8.009287740779456</v>
      </c>
      <c r="AP69" s="205">
        <f t="shared" si="100"/>
        <v>8.5432402568314192</v>
      </c>
      <c r="AQ69" s="205">
        <f t="shared" si="100"/>
        <v>9.0771927728833823</v>
      </c>
      <c r="AR69" s="205">
        <f t="shared" si="100"/>
        <v>9.6111452889353473</v>
      </c>
      <c r="AS69" s="205">
        <f t="shared" si="100"/>
        <v>10.14509780498731</v>
      </c>
      <c r="AT69" s="205">
        <f t="shared" si="100"/>
        <v>10.679050321039274</v>
      </c>
      <c r="AU69" s="205">
        <f t="shared" si="100"/>
        <v>11.213002837091238</v>
      </c>
      <c r="AV69" s="205">
        <f t="shared" si="100"/>
        <v>11.746955353143202</v>
      </c>
      <c r="AW69" s="205">
        <f t="shared" si="100"/>
        <v>12.280907869195165</v>
      </c>
      <c r="AX69" s="205">
        <f t="shared" si="100"/>
        <v>12.81486038524713</v>
      </c>
      <c r="AY69" s="205">
        <f t="shared" si="100"/>
        <v>13.348812901299093</v>
      </c>
      <c r="AZ69" s="205">
        <f t="shared" si="100"/>
        <v>13.882765417351056</v>
      </c>
      <c r="BA69" s="205">
        <f t="shared" si="100"/>
        <v>14.416717933403019</v>
      </c>
      <c r="BB69" s="205">
        <f t="shared" si="100"/>
        <v>14.950670449454984</v>
      </c>
      <c r="BC69" s="205">
        <f t="shared" si="100"/>
        <v>15.484622965506947</v>
      </c>
      <c r="BD69" s="205">
        <f t="shared" si="100"/>
        <v>16.018575481558912</v>
      </c>
      <c r="BE69" s="205">
        <f t="shared" si="100"/>
        <v>16.552527997610873</v>
      </c>
      <c r="BF69" s="205">
        <f t="shared" si="100"/>
        <v>17.086480513662838</v>
      </c>
      <c r="BG69" s="205">
        <f t="shared" si="100"/>
        <v>17.620433029714803</v>
      </c>
      <c r="BH69" s="205">
        <f t="shared" si="100"/>
        <v>18.154385545766765</v>
      </c>
      <c r="BI69" s="205">
        <f t="shared" si="100"/>
        <v>18.68833806181873</v>
      </c>
      <c r="BJ69" s="205">
        <f t="shared" si="100"/>
        <v>19.222290577870695</v>
      </c>
      <c r="BK69" s="205">
        <f t="shared" si="100"/>
        <v>19.756243093922656</v>
      </c>
      <c r="BL69" s="205">
        <f t="shared" si="100"/>
        <v>19.756243093922656</v>
      </c>
      <c r="BM69" s="205">
        <f t="shared" si="100"/>
        <v>19.756243093922656</v>
      </c>
      <c r="BN69" s="205">
        <f t="shared" si="100"/>
        <v>19.756243093922656</v>
      </c>
      <c r="BO69" s="205">
        <f t="shared" si="100"/>
        <v>19.756243093922656</v>
      </c>
      <c r="BP69" s="205">
        <f t="shared" si="100"/>
        <v>19.756243093922656</v>
      </c>
      <c r="BQ69" s="205">
        <f t="shared" si="100"/>
        <v>19.756243093922656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19.756243093922656</v>
      </c>
      <c r="BS69" s="205">
        <f t="shared" si="101"/>
        <v>19.756243093922656</v>
      </c>
      <c r="BT69" s="205">
        <f t="shared" si="101"/>
        <v>19.756243093922656</v>
      </c>
      <c r="BU69" s="205">
        <f t="shared" si="101"/>
        <v>19.756243093922656</v>
      </c>
      <c r="BV69" s="205">
        <f t="shared" si="101"/>
        <v>19.756243093922656</v>
      </c>
      <c r="BW69" s="205">
        <f t="shared" si="101"/>
        <v>19.756243093922656</v>
      </c>
      <c r="BX69" s="205">
        <f t="shared" si="101"/>
        <v>19.756243093922656</v>
      </c>
      <c r="BY69" s="205">
        <f t="shared" si="101"/>
        <v>19.756243093922656</v>
      </c>
      <c r="BZ69" s="205">
        <f t="shared" si="101"/>
        <v>19.756243093922656</v>
      </c>
      <c r="CA69" s="205">
        <f t="shared" si="101"/>
        <v>19.756243093922656</v>
      </c>
      <c r="CB69" s="205">
        <f t="shared" si="101"/>
        <v>19.756243093922656</v>
      </c>
      <c r="CC69" s="205">
        <f t="shared" si="101"/>
        <v>19.756243093922656</v>
      </c>
      <c r="CD69" s="205">
        <f t="shared" si="101"/>
        <v>19.756243093922656</v>
      </c>
      <c r="CE69" s="205">
        <f t="shared" si="101"/>
        <v>19.756243093922656</v>
      </c>
      <c r="CF69" s="205">
        <f t="shared" si="101"/>
        <v>19.756243093922656</v>
      </c>
      <c r="CG69" s="205">
        <f t="shared" si="101"/>
        <v>19.756243093922656</v>
      </c>
      <c r="CH69" s="205">
        <f t="shared" si="101"/>
        <v>19.756243093922656</v>
      </c>
      <c r="CI69" s="205">
        <f t="shared" si="101"/>
        <v>19.756243093922656</v>
      </c>
      <c r="CJ69" s="205">
        <f t="shared" si="101"/>
        <v>19.756243093922656</v>
      </c>
      <c r="CK69" s="205">
        <f t="shared" si="101"/>
        <v>19.756243093922656</v>
      </c>
      <c r="CL69" s="205">
        <f t="shared" si="101"/>
        <v>20.060185295367621</v>
      </c>
      <c r="CM69" s="205">
        <f t="shared" si="101"/>
        <v>20.364127496812586</v>
      </c>
      <c r="CN69" s="205">
        <f t="shared" si="101"/>
        <v>20.668069698257547</v>
      </c>
      <c r="CO69" s="205">
        <f t="shared" si="101"/>
        <v>20.972011899702512</v>
      </c>
      <c r="CP69" s="205">
        <f t="shared" si="101"/>
        <v>21.275954101147477</v>
      </c>
      <c r="CQ69" s="205">
        <f t="shared" si="101"/>
        <v>21.579896302592442</v>
      </c>
      <c r="CR69" s="205">
        <f t="shared" si="101"/>
        <v>21.883838504037403</v>
      </c>
      <c r="CS69" s="205">
        <f t="shared" si="101"/>
        <v>22.187780705482368</v>
      </c>
      <c r="CT69" s="205">
        <f t="shared" si="101"/>
        <v>22.491722906927333</v>
      </c>
      <c r="CU69" s="205">
        <f t="shared" si="101"/>
        <v>22.795665108372297</v>
      </c>
      <c r="CV69" s="205">
        <f t="shared" si="101"/>
        <v>23.099607309817259</v>
      </c>
      <c r="CW69" s="205">
        <f t="shared" si="101"/>
        <v>23.403549511262224</v>
      </c>
      <c r="CX69" s="205">
        <f t="shared" si="101"/>
        <v>23.707491712707188</v>
      </c>
      <c r="CY69" s="205">
        <f t="shared" si="101"/>
        <v>38.437491712707192</v>
      </c>
      <c r="CZ69" s="205">
        <f t="shared" si="101"/>
        <v>53.167491712707196</v>
      </c>
      <c r="DA69" s="205">
        <f t="shared" si="101"/>
        <v>67.897491712707193</v>
      </c>
    </row>
    <row r="70" spans="1:105" s="205" customFormat="1">
      <c r="A70" s="205" t="str">
        <f>Income!A85</f>
        <v>Cash transfer - official</v>
      </c>
      <c r="F70" s="205">
        <f t="shared" si="100"/>
        <v>22976.775588491721</v>
      </c>
      <c r="G70" s="205">
        <f t="shared" si="100"/>
        <v>22976.775588491721</v>
      </c>
      <c r="H70" s="205">
        <f t="shared" si="100"/>
        <v>22976.775588491721</v>
      </c>
      <c r="I70" s="205">
        <f t="shared" si="100"/>
        <v>22976.775588491721</v>
      </c>
      <c r="J70" s="205">
        <f t="shared" si="100"/>
        <v>22976.775588491721</v>
      </c>
      <c r="K70" s="205">
        <f t="shared" si="100"/>
        <v>22976.775588491721</v>
      </c>
      <c r="L70" s="205">
        <f t="shared" si="100"/>
        <v>22976.775588491721</v>
      </c>
      <c r="M70" s="205">
        <f t="shared" si="100"/>
        <v>22976.775588491721</v>
      </c>
      <c r="N70" s="205">
        <f t="shared" si="100"/>
        <v>22976.775588491721</v>
      </c>
      <c r="O70" s="205">
        <f t="shared" si="100"/>
        <v>22976.775588491721</v>
      </c>
      <c r="P70" s="205">
        <f t="shared" si="100"/>
        <v>22976.775588491721</v>
      </c>
      <c r="Q70" s="205">
        <f t="shared" si="100"/>
        <v>22976.775588491721</v>
      </c>
      <c r="R70" s="205">
        <f t="shared" si="100"/>
        <v>22976.775588491721</v>
      </c>
      <c r="S70" s="205">
        <f t="shared" si="100"/>
        <v>22976.775588491721</v>
      </c>
      <c r="T70" s="205">
        <f t="shared" si="100"/>
        <v>22976.775588491721</v>
      </c>
      <c r="U70" s="205">
        <f t="shared" si="100"/>
        <v>22976.775588491721</v>
      </c>
      <c r="V70" s="205">
        <f t="shared" si="100"/>
        <v>22976.775588491721</v>
      </c>
      <c r="W70" s="205">
        <f t="shared" si="100"/>
        <v>22976.775588491721</v>
      </c>
      <c r="X70" s="205">
        <f t="shared" si="100"/>
        <v>22976.775588491721</v>
      </c>
      <c r="Y70" s="205">
        <f t="shared" si="100"/>
        <v>22976.775588491721</v>
      </c>
      <c r="Z70" s="205">
        <f t="shared" si="100"/>
        <v>22976.775588491721</v>
      </c>
      <c r="AA70" s="205">
        <f t="shared" si="100"/>
        <v>22918.404901152244</v>
      </c>
      <c r="AB70" s="205">
        <f t="shared" si="100"/>
        <v>22860.034213812771</v>
      </c>
      <c r="AC70" s="205">
        <f t="shared" si="100"/>
        <v>22801.663526473294</v>
      </c>
      <c r="AD70" s="205">
        <f t="shared" si="100"/>
        <v>22743.292839133817</v>
      </c>
      <c r="AE70" s="205">
        <f t="shared" si="100"/>
        <v>22684.922151794344</v>
      </c>
      <c r="AF70" s="205">
        <f t="shared" si="100"/>
        <v>22626.551464454868</v>
      </c>
      <c r="AG70" s="205">
        <f t="shared" si="100"/>
        <v>22568.180777115391</v>
      </c>
      <c r="AH70" s="205">
        <f t="shared" si="100"/>
        <v>22509.810089775918</v>
      </c>
      <c r="AI70" s="205">
        <f t="shared" si="100"/>
        <v>22451.439402436441</v>
      </c>
      <c r="AJ70" s="205">
        <f t="shared" si="100"/>
        <v>22393.068715096964</v>
      </c>
      <c r="AK70" s="205">
        <f t="shared" si="100"/>
        <v>22334.698027757491</v>
      </c>
      <c r="AL70" s="205">
        <f t="shared" si="100"/>
        <v>22276.327340418015</v>
      </c>
      <c r="AM70" s="205">
        <f t="shared" si="100"/>
        <v>22217.956653078538</v>
      </c>
      <c r="AN70" s="205">
        <f t="shared" si="100"/>
        <v>22159.585965739065</v>
      </c>
      <c r="AO70" s="205">
        <f t="shared" si="100"/>
        <v>22101.215278399588</v>
      </c>
      <c r="AP70" s="205">
        <f t="shared" si="100"/>
        <v>22042.844591060111</v>
      </c>
      <c r="AQ70" s="205">
        <f t="shared" si="100"/>
        <v>21984.473903720638</v>
      </c>
      <c r="AR70" s="205">
        <f t="shared" si="100"/>
        <v>21926.103216381161</v>
      </c>
      <c r="AS70" s="205">
        <f t="shared" si="100"/>
        <v>21867.732529041685</v>
      </c>
      <c r="AT70" s="205">
        <f t="shared" si="100"/>
        <v>21809.361841702208</v>
      </c>
      <c r="AU70" s="205">
        <f t="shared" si="100"/>
        <v>21750.991154362735</v>
      </c>
      <c r="AV70" s="205">
        <f t="shared" si="100"/>
        <v>21692.620467023258</v>
      </c>
      <c r="AW70" s="205">
        <f t="shared" si="100"/>
        <v>21634.249779683782</v>
      </c>
      <c r="AX70" s="205">
        <f t="shared" si="100"/>
        <v>21575.879092344308</v>
      </c>
      <c r="AY70" s="205">
        <f t="shared" si="100"/>
        <v>21517.508405004832</v>
      </c>
      <c r="AZ70" s="205">
        <f t="shared" si="100"/>
        <v>21459.137717665355</v>
      </c>
      <c r="BA70" s="205">
        <f t="shared" si="100"/>
        <v>21400.767030325882</v>
      </c>
      <c r="BB70" s="205">
        <f t="shared" si="100"/>
        <v>21342.396342986405</v>
      </c>
      <c r="BC70" s="205">
        <f t="shared" si="100"/>
        <v>21284.025655646928</v>
      </c>
      <c r="BD70" s="205">
        <f t="shared" si="100"/>
        <v>21225.654968307455</v>
      </c>
      <c r="BE70" s="205">
        <f t="shared" si="100"/>
        <v>21167.284280967979</v>
      </c>
      <c r="BF70" s="205">
        <f t="shared" si="100"/>
        <v>21108.913593628502</v>
      </c>
      <c r="BG70" s="205">
        <f t="shared" si="100"/>
        <v>21050.542906289029</v>
      </c>
      <c r="BH70" s="205">
        <f t="shared" si="100"/>
        <v>20992.172218949552</v>
      </c>
      <c r="BI70" s="205">
        <f t="shared" si="100"/>
        <v>20933.801531610075</v>
      </c>
      <c r="BJ70" s="205">
        <f t="shared" si="100"/>
        <v>20875.430844270602</v>
      </c>
      <c r="BK70" s="205">
        <f t="shared" si="100"/>
        <v>20817.060156931126</v>
      </c>
      <c r="BL70" s="205">
        <f t="shared" si="100"/>
        <v>20374.498289853131</v>
      </c>
      <c r="BM70" s="205">
        <f t="shared" si="100"/>
        <v>19931.936422775132</v>
      </c>
      <c r="BN70" s="205">
        <f t="shared" si="100"/>
        <v>19489.374555697137</v>
      </c>
      <c r="BO70" s="205">
        <f t="shared" si="100"/>
        <v>19046.812688619142</v>
      </c>
      <c r="BP70" s="205">
        <f t="shared" si="100"/>
        <v>18604.250821541144</v>
      </c>
      <c r="BQ70" s="205">
        <f t="shared" si="100"/>
        <v>18161.688954463149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17719.127087385154</v>
      </c>
      <c r="BS70" s="205">
        <f t="shared" si="102"/>
        <v>17276.565220307159</v>
      </c>
      <c r="BT70" s="205">
        <f t="shared" si="102"/>
        <v>16834.00335322916</v>
      </c>
      <c r="BU70" s="205">
        <f t="shared" si="102"/>
        <v>16391.441486151165</v>
      </c>
      <c r="BV70" s="205">
        <f t="shared" si="102"/>
        <v>15948.879619073168</v>
      </c>
      <c r="BW70" s="205">
        <f t="shared" si="102"/>
        <v>15506.317751995171</v>
      </c>
      <c r="BX70" s="205">
        <f t="shared" si="102"/>
        <v>15063.755884917176</v>
      </c>
      <c r="BY70" s="205">
        <f t="shared" si="102"/>
        <v>14621.19401783918</v>
      </c>
      <c r="BZ70" s="205">
        <f t="shared" si="102"/>
        <v>14178.632150761183</v>
      </c>
      <c r="CA70" s="205">
        <f t="shared" si="102"/>
        <v>13736.070283683188</v>
      </c>
      <c r="CB70" s="205">
        <f t="shared" si="102"/>
        <v>13293.508416605193</v>
      </c>
      <c r="CC70" s="205">
        <f t="shared" si="102"/>
        <v>12850.946549527196</v>
      </c>
      <c r="CD70" s="205">
        <f t="shared" si="102"/>
        <v>12408.384682449199</v>
      </c>
      <c r="CE70" s="205">
        <f t="shared" si="102"/>
        <v>11965.822815371204</v>
      </c>
      <c r="CF70" s="205">
        <f t="shared" si="102"/>
        <v>11523.260948293208</v>
      </c>
      <c r="CG70" s="205">
        <f t="shared" si="102"/>
        <v>11080.699081215211</v>
      </c>
      <c r="CH70" s="205">
        <f t="shared" si="102"/>
        <v>10638.137214137216</v>
      </c>
      <c r="CI70" s="205">
        <f t="shared" si="102"/>
        <v>10195.575347059219</v>
      </c>
      <c r="CJ70" s="205">
        <f t="shared" si="102"/>
        <v>9753.0134799812222</v>
      </c>
      <c r="CK70" s="205">
        <f t="shared" si="102"/>
        <v>9310.4516129032272</v>
      </c>
      <c r="CL70" s="205">
        <f t="shared" si="102"/>
        <v>9453.6893300248157</v>
      </c>
      <c r="CM70" s="205">
        <f t="shared" si="102"/>
        <v>9596.9270471464042</v>
      </c>
      <c r="CN70" s="205">
        <f t="shared" si="102"/>
        <v>9740.1647642679909</v>
      </c>
      <c r="CO70" s="205">
        <f t="shared" si="102"/>
        <v>9883.4024813895794</v>
      </c>
      <c r="CP70" s="205">
        <f t="shared" si="102"/>
        <v>10026.640198511168</v>
      </c>
      <c r="CQ70" s="205">
        <f t="shared" si="102"/>
        <v>10169.877915632756</v>
      </c>
      <c r="CR70" s="205">
        <f t="shared" si="102"/>
        <v>10313.115632754343</v>
      </c>
      <c r="CS70" s="205">
        <f t="shared" si="102"/>
        <v>10456.353349875932</v>
      </c>
      <c r="CT70" s="205">
        <f t="shared" si="102"/>
        <v>10599.59106699752</v>
      </c>
      <c r="CU70" s="205">
        <f t="shared" si="102"/>
        <v>10742.828784119109</v>
      </c>
      <c r="CV70" s="205">
        <f t="shared" si="102"/>
        <v>10886.066501240695</v>
      </c>
      <c r="CW70" s="205">
        <f t="shared" si="102"/>
        <v>11029.304218362284</v>
      </c>
      <c r="CX70" s="205">
        <f t="shared" si="102"/>
        <v>11172.541935483872</v>
      </c>
      <c r="CY70" s="205">
        <f t="shared" si="102"/>
        <v>10044.711935483872</v>
      </c>
      <c r="CZ70" s="205">
        <f t="shared" si="102"/>
        <v>8916.8819354838724</v>
      </c>
      <c r="DA70" s="205">
        <f t="shared" si="102"/>
        <v>7789.0519354838725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0</v>
      </c>
      <c r="V71" s="205">
        <f t="shared" si="103"/>
        <v>0</v>
      </c>
      <c r="W71" s="205">
        <f t="shared" si="103"/>
        <v>0</v>
      </c>
      <c r="X71" s="205">
        <f t="shared" si="103"/>
        <v>0</v>
      </c>
      <c r="Y71" s="205">
        <f t="shared" si="103"/>
        <v>0</v>
      </c>
      <c r="Z71" s="205">
        <f t="shared" si="103"/>
        <v>0</v>
      </c>
      <c r="AA71" s="205">
        <f t="shared" si="103"/>
        <v>0</v>
      </c>
      <c r="AB71" s="205">
        <f t="shared" si="103"/>
        <v>0</v>
      </c>
      <c r="AC71" s="205">
        <f t="shared" si="103"/>
        <v>0</v>
      </c>
      <c r="AD71" s="205">
        <f t="shared" si="103"/>
        <v>0</v>
      </c>
      <c r="AE71" s="205">
        <f t="shared" si="103"/>
        <v>0</v>
      </c>
      <c r="AF71" s="205">
        <f t="shared" si="103"/>
        <v>0</v>
      </c>
      <c r="AG71" s="205">
        <f t="shared" si="103"/>
        <v>0</v>
      </c>
      <c r="AH71" s="205">
        <f t="shared" si="103"/>
        <v>0</v>
      </c>
      <c r="AI71" s="205">
        <f t="shared" si="103"/>
        <v>0</v>
      </c>
      <c r="AJ71" s="205">
        <f t="shared" si="103"/>
        <v>0</v>
      </c>
      <c r="AK71" s="205">
        <f t="shared" si="103"/>
        <v>0</v>
      </c>
      <c r="AL71" s="205">
        <f t="shared" si="103"/>
        <v>0</v>
      </c>
      <c r="AM71" s="205">
        <f t="shared" si="103"/>
        <v>0</v>
      </c>
      <c r="AN71" s="205">
        <f t="shared" si="103"/>
        <v>0</v>
      </c>
      <c r="AO71" s="205">
        <f t="shared" si="103"/>
        <v>0</v>
      </c>
      <c r="AP71" s="205">
        <f t="shared" si="103"/>
        <v>0</v>
      </c>
      <c r="AQ71" s="205">
        <f t="shared" si="103"/>
        <v>0</v>
      </c>
      <c r="AR71" s="205">
        <f t="shared" si="103"/>
        <v>0</v>
      </c>
      <c r="AS71" s="205">
        <f t="shared" si="103"/>
        <v>0</v>
      </c>
      <c r="AT71" s="205">
        <f t="shared" si="103"/>
        <v>0</v>
      </c>
      <c r="AU71" s="205">
        <f t="shared" si="103"/>
        <v>0</v>
      </c>
      <c r="AV71" s="205">
        <f t="shared" si="103"/>
        <v>0</v>
      </c>
      <c r="AW71" s="205">
        <f t="shared" si="103"/>
        <v>0</v>
      </c>
      <c r="AX71" s="205">
        <f t="shared" si="103"/>
        <v>0</v>
      </c>
      <c r="AY71" s="205">
        <f t="shared" si="103"/>
        <v>0</v>
      </c>
      <c r="AZ71" s="205">
        <f t="shared" si="103"/>
        <v>0</v>
      </c>
      <c r="BA71" s="205">
        <f t="shared" si="103"/>
        <v>0</v>
      </c>
      <c r="BB71" s="205">
        <f t="shared" si="103"/>
        <v>0</v>
      </c>
      <c r="BC71" s="205">
        <f t="shared" si="103"/>
        <v>0</v>
      </c>
      <c r="BD71" s="205">
        <f t="shared" si="103"/>
        <v>0</v>
      </c>
      <c r="BE71" s="205">
        <f t="shared" si="103"/>
        <v>0</v>
      </c>
      <c r="BF71" s="205">
        <f t="shared" si="103"/>
        <v>0</v>
      </c>
      <c r="BG71" s="205">
        <f t="shared" si="103"/>
        <v>0</v>
      </c>
      <c r="BH71" s="205">
        <f t="shared" si="103"/>
        <v>0</v>
      </c>
      <c r="BI71" s="205">
        <f t="shared" si="103"/>
        <v>0</v>
      </c>
      <c r="BJ71" s="205">
        <f t="shared" si="103"/>
        <v>0</v>
      </c>
      <c r="BK71" s="205">
        <f t="shared" si="103"/>
        <v>0</v>
      </c>
      <c r="BL71" s="205">
        <f t="shared" si="103"/>
        <v>0</v>
      </c>
      <c r="BM71" s="205">
        <f t="shared" si="103"/>
        <v>0</v>
      </c>
      <c r="BN71" s="205">
        <f t="shared" si="103"/>
        <v>0</v>
      </c>
      <c r="BO71" s="205">
        <f t="shared" si="103"/>
        <v>0</v>
      </c>
      <c r="BP71" s="205">
        <f t="shared" si="103"/>
        <v>0</v>
      </c>
      <c r="BQ71" s="205">
        <f t="shared" si="103"/>
        <v>0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5">
        <f t="shared" si="104"/>
        <v>0</v>
      </c>
      <c r="BW71" s="205">
        <f t="shared" si="104"/>
        <v>0</v>
      </c>
      <c r="BX71" s="205">
        <f t="shared" si="104"/>
        <v>0</v>
      </c>
      <c r="BY71" s="205">
        <f t="shared" si="104"/>
        <v>0</v>
      </c>
      <c r="BZ71" s="205">
        <f t="shared" si="104"/>
        <v>0</v>
      </c>
      <c r="CA71" s="205">
        <f t="shared" si="104"/>
        <v>0</v>
      </c>
      <c r="CB71" s="205">
        <f t="shared" si="104"/>
        <v>0</v>
      </c>
      <c r="CC71" s="205">
        <f t="shared" si="104"/>
        <v>0</v>
      </c>
      <c r="CD71" s="205">
        <f t="shared" si="104"/>
        <v>0</v>
      </c>
      <c r="CE71" s="205">
        <f t="shared" si="104"/>
        <v>0</v>
      </c>
      <c r="CF71" s="205">
        <f t="shared" si="104"/>
        <v>0</v>
      </c>
      <c r="CG71" s="205">
        <f t="shared" si="104"/>
        <v>0</v>
      </c>
      <c r="CH71" s="205">
        <f t="shared" si="104"/>
        <v>0</v>
      </c>
      <c r="CI71" s="205">
        <f t="shared" si="104"/>
        <v>0</v>
      </c>
      <c r="CJ71" s="205">
        <f t="shared" si="104"/>
        <v>0</v>
      </c>
      <c r="CK71" s="205">
        <f t="shared" si="104"/>
        <v>0</v>
      </c>
      <c r="CL71" s="205">
        <f t="shared" si="104"/>
        <v>0</v>
      </c>
      <c r="CM71" s="205">
        <f t="shared" si="104"/>
        <v>0</v>
      </c>
      <c r="CN71" s="205">
        <f t="shared" si="104"/>
        <v>0</v>
      </c>
      <c r="CO71" s="205">
        <f t="shared" si="104"/>
        <v>0</v>
      </c>
      <c r="CP71" s="205">
        <f t="shared" si="104"/>
        <v>0</v>
      </c>
      <c r="CQ71" s="205">
        <f t="shared" si="104"/>
        <v>0</v>
      </c>
      <c r="CR71" s="205">
        <f t="shared" si="104"/>
        <v>0</v>
      </c>
      <c r="CS71" s="205">
        <f t="shared" si="104"/>
        <v>0</v>
      </c>
      <c r="CT71" s="205">
        <f t="shared" si="104"/>
        <v>0</v>
      </c>
      <c r="CU71" s="205">
        <f t="shared" si="104"/>
        <v>0</v>
      </c>
      <c r="CV71" s="205">
        <f t="shared" si="104"/>
        <v>0</v>
      </c>
      <c r="CW71" s="205">
        <f t="shared" si="104"/>
        <v>0</v>
      </c>
      <c r="CX71" s="205">
        <f t="shared" si="104"/>
        <v>0</v>
      </c>
      <c r="CY71" s="205">
        <f t="shared" si="104"/>
        <v>296.33</v>
      </c>
      <c r="CZ71" s="205">
        <f t="shared" si="104"/>
        <v>592.66</v>
      </c>
      <c r="DA71" s="205">
        <f t="shared" si="104"/>
        <v>888.99</v>
      </c>
    </row>
    <row r="72" spans="1:105" s="205" customFormat="1">
      <c r="A72" s="205" t="str">
        <f>Income!A88</f>
        <v>TOTAL</v>
      </c>
      <c r="F72" s="205">
        <f>SUM(F59:F71)</f>
        <v>39953.728283322678</v>
      </c>
      <c r="G72" s="205">
        <f t="shared" ref="G72:BR72" si="105">SUM(G59:G71)</f>
        <v>39953.728283322678</v>
      </c>
      <c r="H72" s="205">
        <f t="shared" si="105"/>
        <v>39953.728283322678</v>
      </c>
      <c r="I72" s="205">
        <f t="shared" si="105"/>
        <v>39953.728283322678</v>
      </c>
      <c r="J72" s="205">
        <f t="shared" si="105"/>
        <v>39953.728283322678</v>
      </c>
      <c r="K72" s="205">
        <f t="shared" si="105"/>
        <v>39953.728283322678</v>
      </c>
      <c r="L72" s="205">
        <f t="shared" si="105"/>
        <v>39953.728283322678</v>
      </c>
      <c r="M72" s="205">
        <f t="shared" si="105"/>
        <v>39953.728283322678</v>
      </c>
      <c r="N72" s="205">
        <f t="shared" si="105"/>
        <v>39953.728283322678</v>
      </c>
      <c r="O72" s="205">
        <f t="shared" si="105"/>
        <v>39953.728283322678</v>
      </c>
      <c r="P72" s="205">
        <f t="shared" si="105"/>
        <v>39953.728283322678</v>
      </c>
      <c r="Q72" s="205">
        <f t="shared" si="105"/>
        <v>39953.728283322678</v>
      </c>
      <c r="R72" s="205">
        <f t="shared" si="105"/>
        <v>39953.728283322678</v>
      </c>
      <c r="S72" s="205">
        <f t="shared" si="105"/>
        <v>39953.728283322678</v>
      </c>
      <c r="T72" s="205">
        <f t="shared" si="105"/>
        <v>39953.728283322678</v>
      </c>
      <c r="U72" s="205">
        <f t="shared" si="105"/>
        <v>39953.728283322678</v>
      </c>
      <c r="V72" s="205">
        <f t="shared" si="105"/>
        <v>39953.728283322678</v>
      </c>
      <c r="W72" s="205">
        <f t="shared" si="105"/>
        <v>39953.728283322678</v>
      </c>
      <c r="X72" s="205">
        <f t="shared" si="105"/>
        <v>39953.728283322678</v>
      </c>
      <c r="Y72" s="205">
        <f t="shared" si="105"/>
        <v>39953.728283322678</v>
      </c>
      <c r="Z72" s="205">
        <f t="shared" si="105"/>
        <v>39953.728283322678</v>
      </c>
      <c r="AA72" s="205">
        <f t="shared" si="105"/>
        <v>40275.614747225212</v>
      </c>
      <c r="AB72" s="205">
        <f t="shared" si="105"/>
        <v>40597.501211127761</v>
      </c>
      <c r="AC72" s="205">
        <f t="shared" si="105"/>
        <v>40919.387675030295</v>
      </c>
      <c r="AD72" s="205">
        <f t="shared" si="105"/>
        <v>41241.274138932829</v>
      </c>
      <c r="AE72" s="205">
        <f t="shared" si="105"/>
        <v>41563.160602835371</v>
      </c>
      <c r="AF72" s="205">
        <f t="shared" si="105"/>
        <v>41885.047066737912</v>
      </c>
      <c r="AG72" s="205">
        <f t="shared" si="105"/>
        <v>42206.933530640454</v>
      </c>
      <c r="AH72" s="205">
        <f t="shared" si="105"/>
        <v>42528.819994542995</v>
      </c>
      <c r="AI72" s="205">
        <f t="shared" si="105"/>
        <v>42850.706458445537</v>
      </c>
      <c r="AJ72" s="205">
        <f t="shared" si="105"/>
        <v>43172.592922348063</v>
      </c>
      <c r="AK72" s="205">
        <f t="shared" si="105"/>
        <v>43494.479386250612</v>
      </c>
      <c r="AL72" s="205">
        <f t="shared" si="105"/>
        <v>43816.365850153146</v>
      </c>
      <c r="AM72" s="205">
        <f t="shared" si="105"/>
        <v>44138.252314055688</v>
      </c>
      <c r="AN72" s="205">
        <f t="shared" si="105"/>
        <v>44460.138777958229</v>
      </c>
      <c r="AO72" s="205">
        <f t="shared" si="105"/>
        <v>44782.025241860771</v>
      </c>
      <c r="AP72" s="205">
        <f t="shared" si="105"/>
        <v>45103.911705763312</v>
      </c>
      <c r="AQ72" s="205">
        <f t="shared" si="105"/>
        <v>45425.798169665846</v>
      </c>
      <c r="AR72" s="205">
        <f t="shared" si="105"/>
        <v>45747.684633568388</v>
      </c>
      <c r="AS72" s="205">
        <f t="shared" si="105"/>
        <v>46069.571097470922</v>
      </c>
      <c r="AT72" s="205">
        <f t="shared" si="105"/>
        <v>46391.457561373463</v>
      </c>
      <c r="AU72" s="205">
        <f t="shared" si="105"/>
        <v>46713.344025276005</v>
      </c>
      <c r="AV72" s="205">
        <f t="shared" si="105"/>
        <v>47035.230489178546</v>
      </c>
      <c r="AW72" s="205">
        <f t="shared" si="105"/>
        <v>47357.116953081088</v>
      </c>
      <c r="AX72" s="205">
        <f t="shared" si="105"/>
        <v>47679.003416983629</v>
      </c>
      <c r="AY72" s="205">
        <f t="shared" si="105"/>
        <v>48000.889880886163</v>
      </c>
      <c r="AZ72" s="205">
        <f t="shared" si="105"/>
        <v>48322.776344788697</v>
      </c>
      <c r="BA72" s="205">
        <f t="shared" si="105"/>
        <v>48644.662808691246</v>
      </c>
      <c r="BB72" s="205">
        <f t="shared" si="105"/>
        <v>48966.54927259378</v>
      </c>
      <c r="BC72" s="205">
        <f t="shared" si="105"/>
        <v>49288.435736496322</v>
      </c>
      <c r="BD72" s="205">
        <f t="shared" si="105"/>
        <v>49610.322200398863</v>
      </c>
      <c r="BE72" s="205">
        <f t="shared" si="105"/>
        <v>49932.208664301404</v>
      </c>
      <c r="BF72" s="205">
        <f t="shared" si="105"/>
        <v>50254.095128203939</v>
      </c>
      <c r="BG72" s="205">
        <f t="shared" si="105"/>
        <v>50575.98159210648</v>
      </c>
      <c r="BH72" s="205">
        <f t="shared" si="105"/>
        <v>50897.868056009014</v>
      </c>
      <c r="BI72" s="205">
        <f t="shared" si="105"/>
        <v>51219.754519911556</v>
      </c>
      <c r="BJ72" s="205">
        <f t="shared" si="105"/>
        <v>51541.640983814097</v>
      </c>
      <c r="BK72" s="205">
        <f t="shared" si="105"/>
        <v>51863.527447716639</v>
      </c>
      <c r="BL72" s="205">
        <f t="shared" si="105"/>
        <v>55907.388758681947</v>
      </c>
      <c r="BM72" s="205">
        <f t="shared" si="105"/>
        <v>59951.250069647256</v>
      </c>
      <c r="BN72" s="205">
        <f t="shared" si="105"/>
        <v>63995.111380612565</v>
      </c>
      <c r="BO72" s="205">
        <f t="shared" si="105"/>
        <v>68038.972691577859</v>
      </c>
      <c r="BP72" s="205">
        <f t="shared" si="105"/>
        <v>72082.834002543183</v>
      </c>
      <c r="BQ72" s="205">
        <f t="shared" si="105"/>
        <v>76126.695313508491</v>
      </c>
      <c r="BR72" s="205">
        <f t="shared" si="105"/>
        <v>80170.5566244738</v>
      </c>
      <c r="BS72" s="205">
        <f t="shared" ref="BS72:DA72" si="106">SUM(BS59:BS71)</f>
        <v>84214.417935439094</v>
      </c>
      <c r="BT72" s="205">
        <f t="shared" si="106"/>
        <v>88258.279246404418</v>
      </c>
      <c r="BU72" s="205">
        <f t="shared" si="106"/>
        <v>92302.140557369727</v>
      </c>
      <c r="BV72" s="205">
        <f t="shared" si="106"/>
        <v>96346.001868335021</v>
      </c>
      <c r="BW72" s="205">
        <f t="shared" si="106"/>
        <v>100389.86317930034</v>
      </c>
      <c r="BX72" s="205">
        <f t="shared" si="106"/>
        <v>104433.72449026565</v>
      </c>
      <c r="BY72" s="205">
        <f t="shared" si="106"/>
        <v>108477.58580123096</v>
      </c>
      <c r="BZ72" s="205">
        <f t="shared" si="106"/>
        <v>112521.44711219627</v>
      </c>
      <c r="CA72" s="205">
        <f t="shared" si="106"/>
        <v>116565.30842316158</v>
      </c>
      <c r="CB72" s="205">
        <f t="shared" si="106"/>
        <v>120609.16973412689</v>
      </c>
      <c r="CC72" s="205">
        <f t="shared" si="106"/>
        <v>124653.0310450922</v>
      </c>
      <c r="CD72" s="205">
        <f t="shared" si="106"/>
        <v>128696.89235605751</v>
      </c>
      <c r="CE72" s="205">
        <f t="shared" si="106"/>
        <v>132740.7536670228</v>
      </c>
      <c r="CF72" s="205">
        <f t="shared" si="106"/>
        <v>136784.61497798812</v>
      </c>
      <c r="CG72" s="205">
        <f t="shared" si="106"/>
        <v>140828.47628895342</v>
      </c>
      <c r="CH72" s="205">
        <f t="shared" si="106"/>
        <v>144872.33759991871</v>
      </c>
      <c r="CI72" s="205">
        <f t="shared" si="106"/>
        <v>148916.19891088406</v>
      </c>
      <c r="CJ72" s="205">
        <f t="shared" si="106"/>
        <v>152960.06022184933</v>
      </c>
      <c r="CK72" s="205">
        <f t="shared" si="106"/>
        <v>157003.92153281462</v>
      </c>
      <c r="CL72" s="205">
        <f t="shared" si="106"/>
        <v>180518.73040574175</v>
      </c>
      <c r="CM72" s="205">
        <f t="shared" si="106"/>
        <v>204033.53927866888</v>
      </c>
      <c r="CN72" s="205">
        <f t="shared" si="106"/>
        <v>227548.348151596</v>
      </c>
      <c r="CO72" s="205">
        <f t="shared" si="106"/>
        <v>251063.1570245231</v>
      </c>
      <c r="CP72" s="205">
        <f t="shared" si="106"/>
        <v>274577.96589745028</v>
      </c>
      <c r="CQ72" s="205">
        <f t="shared" si="106"/>
        <v>298092.77477037732</v>
      </c>
      <c r="CR72" s="205">
        <f t="shared" si="106"/>
        <v>321607.58364330442</v>
      </c>
      <c r="CS72" s="205">
        <f t="shared" si="106"/>
        <v>345122.39251623151</v>
      </c>
      <c r="CT72" s="205">
        <f t="shared" si="106"/>
        <v>368637.20138915867</v>
      </c>
      <c r="CU72" s="205">
        <f t="shared" si="106"/>
        <v>392152.01026208577</v>
      </c>
      <c r="CV72" s="205">
        <f t="shared" si="106"/>
        <v>415666.81913501286</v>
      </c>
      <c r="CW72" s="205">
        <f t="shared" si="106"/>
        <v>439181.62800793996</v>
      </c>
      <c r="CX72" s="205">
        <f t="shared" si="106"/>
        <v>462696.43688086706</v>
      </c>
      <c r="CY72" s="205">
        <f t="shared" si="106"/>
        <v>472476.23788086709</v>
      </c>
      <c r="CZ72" s="205">
        <f t="shared" si="106"/>
        <v>482256.03888086713</v>
      </c>
      <c r="DA72" s="205">
        <f t="shared" si="106"/>
        <v>492035.8398808671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40</v>
      </c>
      <c r="D107" s="215">
        <f>C23</f>
        <v>74</v>
      </c>
      <c r="E107" s="215">
        <f>D23</f>
        <v>92</v>
      </c>
      <c r="F107" s="215">
        <f>E23</f>
        <v>100</v>
      </c>
      <c r="AD107" s="202" t="s">
        <v>118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62.369893540281673</v>
      </c>
      <c r="D108" s="213">
        <f>BU42</f>
        <v>55.798429497380909</v>
      </c>
      <c r="E108" s="213">
        <f>CR42</f>
        <v>-12.343999984408548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0</v>
      </c>
      <c r="D109" s="213">
        <f t="shared" ref="D109:D120" si="108">BU43</f>
        <v>0</v>
      </c>
      <c r="E109" s="213">
        <f t="shared" ref="E109:E120" si="109">CR43</f>
        <v>372.18461538461537</v>
      </c>
      <c r="F109" s="213">
        <f xml:space="preserve"> 0.2249*F107^2 - 18.644*F107 + 340.26</f>
        <v>724.86000000000013</v>
      </c>
      <c r="AD109" s="218" t="s">
        <v>121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4.5100619424382042</v>
      </c>
      <c r="D110" s="213">
        <f t="shared" si="108"/>
        <v>10.717056238230525</v>
      </c>
      <c r="E110" s="213">
        <f t="shared" si="109"/>
        <v>69.518905896178438</v>
      </c>
      <c r="F110" s="213">
        <f xml:space="preserve"> -0.005*F107^2 + 0.7378*F107 - 15.349</f>
        <v>8.4310000000000009</v>
      </c>
      <c r="AD110" s="218" t="s">
        <v>119</v>
      </c>
      <c r="AE110" s="202">
        <f>(0.5*(DA72-F72))</f>
        <v>226041.0557987722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120</v>
      </c>
      <c r="AE111" s="213">
        <f>AE109/AE110</f>
        <v>5.9062905974476533E-2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109.88108108108108</v>
      </c>
      <c r="D112" s="213">
        <f t="shared" si="108"/>
        <v>300.2461538461539</v>
      </c>
      <c r="E112" s="213">
        <f t="shared" si="109"/>
        <v>906.33846153846184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0</v>
      </c>
      <c r="D113" s="213">
        <f t="shared" si="108"/>
        <v>0</v>
      </c>
      <c r="E113" s="213">
        <f t="shared" si="109"/>
        <v>0</v>
      </c>
      <c r="F113" s="213">
        <f xml:space="preserve"> 0.0898*F107^2 - 11.826*F107 + 336.79</f>
        <v>52.189999999999884</v>
      </c>
      <c r="AD113" s="218" t="s">
        <v>122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124.50162162162165</v>
      </c>
      <c r="D114" s="213">
        <f t="shared" si="108"/>
        <v>-524.03076923076935</v>
      </c>
      <c r="E114" s="213">
        <f t="shared" si="109"/>
        <v>-64.615384615384613</v>
      </c>
      <c r="F114" s="213">
        <v>0</v>
      </c>
      <c r="AD114" s="218" t="s">
        <v>123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3437.5384615384619</v>
      </c>
      <c r="E115" s="213">
        <f t="shared" si="109"/>
        <v>20418.461538461539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-30.512432432432433</v>
      </c>
      <c r="D116" s="213">
        <f t="shared" si="108"/>
        <v>1097.6000000000001</v>
      </c>
      <c r="E116" s="213">
        <f t="shared" si="109"/>
        <v>-2629.4153846153849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108.97297297297298</v>
      </c>
      <c r="D117" s="213">
        <f t="shared" si="108"/>
        <v>108.55384615384615</v>
      </c>
      <c r="E117" s="213">
        <f t="shared" si="109"/>
        <v>4311.1384615384623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0.5339525160519637</v>
      </c>
      <c r="D118" s="213">
        <f t="shared" si="108"/>
        <v>0</v>
      </c>
      <c r="E118" s="213">
        <f t="shared" si="109"/>
        <v>0.30394220144496403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-58.370687339475538</v>
      </c>
      <c r="D119" s="213">
        <f t="shared" si="108"/>
        <v>-442.56186707799611</v>
      </c>
      <c r="E119" s="213">
        <f t="shared" si="109"/>
        <v>143.23771712158808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0</v>
      </c>
      <c r="E120" s="213">
        <f t="shared" si="109"/>
        <v>0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Lawrence;Charles Rethman (seasonality, total income, percentiles);SVAC</dc:creator>
  <cp:lastModifiedBy>Charles Rethman</cp:lastModifiedBy>
  <cp:lastPrinted>2011-04-19T10:12:05Z</cp:lastPrinted>
  <dcterms:created xsi:type="dcterms:W3CDTF">2006-01-21T10:30:34Z</dcterms:created>
  <dcterms:modified xsi:type="dcterms:W3CDTF">2015-12-02T08:50:50Z</dcterms:modified>
</cp:coreProperties>
</file>