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1760" windowWidth="24420" windowHeight="14300" activeTab="5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  <externalReference r:id="rId10"/>
  </externalReferences>
  <definedNames>
    <definedName name="_xlnm.Print_Area" localSheetId="2">Middle!$A$1:$M$114</definedName>
    <definedName name="_xlnm.Print_Area" localSheetId="1">Poor!$A$1:$AK$73</definedName>
    <definedName name="_xlnm.Print_Area" localSheetId="3">Rich!$A$1:$M$114</definedName>
    <definedName name="_xlnm.Print_Area" localSheetId="0">V.Poor!$A$1:$M$114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9" i="1" l="1"/>
  <c r="AG69" i="1"/>
  <c r="AE69" i="1"/>
  <c r="AC69" i="1"/>
  <c r="AA69" i="1"/>
  <c r="AH69" i="1"/>
  <c r="G29" i="1"/>
  <c r="G29" i="12"/>
  <c r="H70" i="12"/>
  <c r="B67" i="12"/>
  <c r="B68" i="12"/>
  <c r="B69" i="12"/>
  <c r="B70" i="12"/>
  <c r="I70" i="12"/>
  <c r="F57" i="12"/>
  <c r="H57" i="12"/>
  <c r="B57" i="12"/>
  <c r="B21" i="12"/>
  <c r="C21" i="12"/>
  <c r="D21" i="12"/>
  <c r="I71" i="12"/>
  <c r="B71" i="12"/>
  <c r="H71" i="12"/>
  <c r="B58" i="12"/>
  <c r="B59" i="12"/>
  <c r="B68" i="1"/>
  <c r="R26" i="12"/>
  <c r="B91" i="9"/>
  <c r="B8" i="12"/>
  <c r="K8" i="12"/>
  <c r="B9" i="12"/>
  <c r="K9" i="12"/>
  <c r="B10" i="12"/>
  <c r="K10" i="12"/>
  <c r="B11" i="12"/>
  <c r="K11" i="12"/>
  <c r="B6" i="12"/>
  <c r="K6" i="12"/>
  <c r="B7" i="12"/>
  <c r="K7" i="12"/>
  <c r="B12" i="12"/>
  <c r="K12" i="12"/>
  <c r="B13" i="12"/>
  <c r="K13" i="12"/>
  <c r="B14" i="12"/>
  <c r="K14" i="12"/>
  <c r="B15" i="12"/>
  <c r="K15" i="12"/>
  <c r="B16" i="12"/>
  <c r="K16" i="12"/>
  <c r="B17" i="12"/>
  <c r="K17" i="12"/>
  <c r="B18" i="12"/>
  <c r="K18" i="12"/>
  <c r="B19" i="12"/>
  <c r="K19" i="12"/>
  <c r="B20" i="12"/>
  <c r="K20" i="12"/>
  <c r="R7" i="12"/>
  <c r="B34" i="12"/>
  <c r="B83" i="12"/>
  <c r="K83" i="12"/>
  <c r="B35" i="12"/>
  <c r="B84" i="12"/>
  <c r="K84" i="12"/>
  <c r="B36" i="12"/>
  <c r="B85" i="12"/>
  <c r="K85" i="12"/>
  <c r="B37" i="12"/>
  <c r="B86" i="12"/>
  <c r="K86" i="12"/>
  <c r="B29" i="12"/>
  <c r="B78" i="12"/>
  <c r="K78" i="12"/>
  <c r="B30" i="12"/>
  <c r="B79" i="12"/>
  <c r="K79" i="12"/>
  <c r="B31" i="12"/>
  <c r="B80" i="12"/>
  <c r="K80" i="12"/>
  <c r="B32" i="12"/>
  <c r="B81" i="12"/>
  <c r="K81" i="12"/>
  <c r="B33" i="12"/>
  <c r="B82" i="12"/>
  <c r="K82" i="12"/>
  <c r="B38" i="12"/>
  <c r="B87" i="12"/>
  <c r="K87" i="12"/>
  <c r="B39" i="12"/>
  <c r="B88" i="12"/>
  <c r="K88" i="12"/>
  <c r="B40" i="12"/>
  <c r="B89" i="12"/>
  <c r="K89" i="12"/>
  <c r="B41" i="12"/>
  <c r="B90" i="12"/>
  <c r="K90" i="12"/>
  <c r="B42" i="12"/>
  <c r="B91" i="12"/>
  <c r="K91" i="12"/>
  <c r="B43" i="12"/>
  <c r="B92" i="12"/>
  <c r="K92" i="12"/>
  <c r="B44" i="12"/>
  <c r="B93" i="12"/>
  <c r="K93" i="12"/>
  <c r="B45" i="12"/>
  <c r="B94" i="12"/>
  <c r="K94" i="12"/>
  <c r="B46" i="12"/>
  <c r="B95" i="12"/>
  <c r="K95" i="12"/>
  <c r="B47" i="12"/>
  <c r="B96" i="12"/>
  <c r="K96" i="12"/>
  <c r="B48" i="12"/>
  <c r="B97" i="12"/>
  <c r="K97" i="12"/>
  <c r="B49" i="12"/>
  <c r="B98" i="12"/>
  <c r="K98" i="12"/>
  <c r="B50" i="12"/>
  <c r="B99" i="12"/>
  <c r="K99" i="12"/>
  <c r="B51" i="12"/>
  <c r="B100" i="12"/>
  <c r="K100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B88" i="9"/>
  <c r="B100" i="9"/>
  <c r="F7" i="1"/>
  <c r="H70" i="1"/>
  <c r="B67" i="1"/>
  <c r="B70" i="1"/>
  <c r="I70" i="1"/>
  <c r="H57" i="1"/>
  <c r="B57" i="1"/>
  <c r="B21" i="1"/>
  <c r="C21" i="1"/>
  <c r="D21" i="1"/>
  <c r="H21" i="1"/>
  <c r="I71" i="1"/>
  <c r="B71" i="1"/>
  <c r="H71" i="1"/>
  <c r="B58" i="1"/>
  <c r="B59" i="1"/>
  <c r="R26" i="1"/>
  <c r="C91" i="9"/>
  <c r="B8" i="1"/>
  <c r="K8" i="1"/>
  <c r="B9" i="1"/>
  <c r="K9" i="1"/>
  <c r="B10" i="1"/>
  <c r="K10" i="1"/>
  <c r="B11" i="1"/>
  <c r="K11" i="1"/>
  <c r="B6" i="1"/>
  <c r="K6" i="1"/>
  <c r="B7" i="1"/>
  <c r="K7" i="1"/>
  <c r="B12" i="1"/>
  <c r="K12" i="1"/>
  <c r="B13" i="1"/>
  <c r="K13" i="1"/>
  <c r="B14" i="1"/>
  <c r="K14" i="1"/>
  <c r="B15" i="1"/>
  <c r="K15" i="1"/>
  <c r="B16" i="1"/>
  <c r="K16" i="1"/>
  <c r="B17" i="1"/>
  <c r="K17" i="1"/>
  <c r="B18" i="1"/>
  <c r="K18" i="1"/>
  <c r="B19" i="1"/>
  <c r="K19" i="1"/>
  <c r="B20" i="1"/>
  <c r="K20" i="1"/>
  <c r="R7" i="1"/>
  <c r="B34" i="1"/>
  <c r="B83" i="1"/>
  <c r="K83" i="1"/>
  <c r="B35" i="1"/>
  <c r="B84" i="1"/>
  <c r="K84" i="1"/>
  <c r="B36" i="1"/>
  <c r="B85" i="1"/>
  <c r="K85" i="1"/>
  <c r="B37" i="1"/>
  <c r="B86" i="1"/>
  <c r="K86" i="1"/>
  <c r="B29" i="1"/>
  <c r="B78" i="1"/>
  <c r="K78" i="1"/>
  <c r="B30" i="1"/>
  <c r="B79" i="1"/>
  <c r="K79" i="1"/>
  <c r="B31" i="1"/>
  <c r="B80" i="1"/>
  <c r="K80" i="1"/>
  <c r="B32" i="1"/>
  <c r="B81" i="1"/>
  <c r="K81" i="1"/>
  <c r="B33" i="1"/>
  <c r="B82" i="1"/>
  <c r="K82" i="1"/>
  <c r="B38" i="1"/>
  <c r="B87" i="1"/>
  <c r="K87" i="1"/>
  <c r="B39" i="1"/>
  <c r="B88" i="1"/>
  <c r="K88" i="1"/>
  <c r="B40" i="1"/>
  <c r="B89" i="1"/>
  <c r="K89" i="1"/>
  <c r="B41" i="1"/>
  <c r="B90" i="1"/>
  <c r="K90" i="1"/>
  <c r="B42" i="1"/>
  <c r="B91" i="1"/>
  <c r="K91" i="1"/>
  <c r="B43" i="1"/>
  <c r="B92" i="1"/>
  <c r="K92" i="1"/>
  <c r="B44" i="1"/>
  <c r="B93" i="1"/>
  <c r="K93" i="1"/>
  <c r="B45" i="1"/>
  <c r="B94" i="1"/>
  <c r="K94" i="1"/>
  <c r="B46" i="1"/>
  <c r="B95" i="1"/>
  <c r="K95" i="1"/>
  <c r="B47" i="1"/>
  <c r="B96" i="1"/>
  <c r="K96" i="1"/>
  <c r="B48" i="1"/>
  <c r="B97" i="1"/>
  <c r="K97" i="1"/>
  <c r="B49" i="1"/>
  <c r="B98" i="1"/>
  <c r="K98" i="1"/>
  <c r="B50" i="1"/>
  <c r="B99" i="1"/>
  <c r="K99" i="1"/>
  <c r="B51" i="1"/>
  <c r="B100" i="1"/>
  <c r="K100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C88" i="9"/>
  <c r="C100" i="9"/>
  <c r="G29" i="7"/>
  <c r="H70" i="7"/>
  <c r="B67" i="7"/>
  <c r="B68" i="7"/>
  <c r="B69" i="7"/>
  <c r="B70" i="7"/>
  <c r="I70" i="7"/>
  <c r="F57" i="7"/>
  <c r="H57" i="7"/>
  <c r="B57" i="7"/>
  <c r="B21" i="7"/>
  <c r="C21" i="7"/>
  <c r="D21" i="7"/>
  <c r="I71" i="7"/>
  <c r="B71" i="7"/>
  <c r="H71" i="7"/>
  <c r="B58" i="7"/>
  <c r="B59" i="7"/>
  <c r="R26" i="7"/>
  <c r="D91" i="9"/>
  <c r="B8" i="7"/>
  <c r="K8" i="7"/>
  <c r="B9" i="7"/>
  <c r="K9" i="7"/>
  <c r="B10" i="7"/>
  <c r="K10" i="7"/>
  <c r="B11" i="7"/>
  <c r="K11" i="7"/>
  <c r="B6" i="7"/>
  <c r="K6" i="7"/>
  <c r="B7" i="7"/>
  <c r="K7" i="7"/>
  <c r="B12" i="7"/>
  <c r="K12" i="7"/>
  <c r="B13" i="7"/>
  <c r="K13" i="7"/>
  <c r="B14" i="7"/>
  <c r="K14" i="7"/>
  <c r="B15" i="7"/>
  <c r="K15" i="7"/>
  <c r="B16" i="7"/>
  <c r="K16" i="7"/>
  <c r="B17" i="7"/>
  <c r="K17" i="7"/>
  <c r="B18" i="7"/>
  <c r="K18" i="7"/>
  <c r="B19" i="7"/>
  <c r="K19" i="7"/>
  <c r="B20" i="7"/>
  <c r="K20" i="7"/>
  <c r="R7" i="7"/>
  <c r="B34" i="7"/>
  <c r="B83" i="7"/>
  <c r="K83" i="7"/>
  <c r="B35" i="7"/>
  <c r="B84" i="7"/>
  <c r="K84" i="7"/>
  <c r="B36" i="7"/>
  <c r="B85" i="7"/>
  <c r="K85" i="7"/>
  <c r="B37" i="7"/>
  <c r="B86" i="7"/>
  <c r="K86" i="7"/>
  <c r="B29" i="7"/>
  <c r="B78" i="7"/>
  <c r="K78" i="7"/>
  <c r="B30" i="7"/>
  <c r="B79" i="7"/>
  <c r="K79" i="7"/>
  <c r="B31" i="7"/>
  <c r="B80" i="7"/>
  <c r="K80" i="7"/>
  <c r="B32" i="7"/>
  <c r="B81" i="7"/>
  <c r="K81" i="7"/>
  <c r="B33" i="7"/>
  <c r="B82" i="7"/>
  <c r="K82" i="7"/>
  <c r="B38" i="7"/>
  <c r="B87" i="7"/>
  <c r="K87" i="7"/>
  <c r="B39" i="7"/>
  <c r="B88" i="7"/>
  <c r="K88" i="7"/>
  <c r="B40" i="7"/>
  <c r="B89" i="7"/>
  <c r="K89" i="7"/>
  <c r="B41" i="7"/>
  <c r="B90" i="7"/>
  <c r="K90" i="7"/>
  <c r="B42" i="7"/>
  <c r="B91" i="7"/>
  <c r="K91" i="7"/>
  <c r="B43" i="7"/>
  <c r="B92" i="7"/>
  <c r="K92" i="7"/>
  <c r="B44" i="7"/>
  <c r="B93" i="7"/>
  <c r="K93" i="7"/>
  <c r="B45" i="7"/>
  <c r="B94" i="7"/>
  <c r="K94" i="7"/>
  <c r="B46" i="7"/>
  <c r="B95" i="7"/>
  <c r="K95" i="7"/>
  <c r="B47" i="7"/>
  <c r="B96" i="7"/>
  <c r="K96" i="7"/>
  <c r="B48" i="7"/>
  <c r="B97" i="7"/>
  <c r="K97" i="7"/>
  <c r="B49" i="7"/>
  <c r="B98" i="7"/>
  <c r="K98" i="7"/>
  <c r="B50" i="7"/>
  <c r="B99" i="7"/>
  <c r="K99" i="7"/>
  <c r="B51" i="7"/>
  <c r="B100" i="7"/>
  <c r="K100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D88" i="9"/>
  <c r="D100" i="9"/>
  <c r="G29" i="8"/>
  <c r="H70" i="8"/>
  <c r="B67" i="8"/>
  <c r="B68" i="8"/>
  <c r="B69" i="8"/>
  <c r="B70" i="8"/>
  <c r="I70" i="8"/>
  <c r="F57" i="8"/>
  <c r="H57" i="8"/>
  <c r="B57" i="8"/>
  <c r="B21" i="8"/>
  <c r="C21" i="8"/>
  <c r="D21" i="8"/>
  <c r="I71" i="8"/>
  <c r="B71" i="8"/>
  <c r="H71" i="8"/>
  <c r="B58" i="8"/>
  <c r="B59" i="8"/>
  <c r="R26" i="8"/>
  <c r="E91" i="9"/>
  <c r="B8" i="8"/>
  <c r="K8" i="8"/>
  <c r="B9" i="8"/>
  <c r="K9" i="8"/>
  <c r="B10" i="8"/>
  <c r="K10" i="8"/>
  <c r="B11" i="8"/>
  <c r="K11" i="8"/>
  <c r="B6" i="8"/>
  <c r="K6" i="8"/>
  <c r="B7" i="8"/>
  <c r="K7" i="8"/>
  <c r="B12" i="8"/>
  <c r="K12" i="8"/>
  <c r="B13" i="8"/>
  <c r="K13" i="8"/>
  <c r="B14" i="8"/>
  <c r="K14" i="8"/>
  <c r="B15" i="8"/>
  <c r="K15" i="8"/>
  <c r="B16" i="8"/>
  <c r="K16" i="8"/>
  <c r="B17" i="8"/>
  <c r="K17" i="8"/>
  <c r="B18" i="8"/>
  <c r="K18" i="8"/>
  <c r="B19" i="8"/>
  <c r="K19" i="8"/>
  <c r="B20" i="8"/>
  <c r="K20" i="8"/>
  <c r="R7" i="8"/>
  <c r="B34" i="8"/>
  <c r="B83" i="8"/>
  <c r="K83" i="8"/>
  <c r="B35" i="8"/>
  <c r="B84" i="8"/>
  <c r="K84" i="8"/>
  <c r="B36" i="8"/>
  <c r="B85" i="8"/>
  <c r="K85" i="8"/>
  <c r="B37" i="8"/>
  <c r="B86" i="8"/>
  <c r="K86" i="8"/>
  <c r="B29" i="8"/>
  <c r="B78" i="8"/>
  <c r="K78" i="8"/>
  <c r="B30" i="8"/>
  <c r="B79" i="8"/>
  <c r="K79" i="8"/>
  <c r="B31" i="8"/>
  <c r="B80" i="8"/>
  <c r="K80" i="8"/>
  <c r="B32" i="8"/>
  <c r="B81" i="8"/>
  <c r="K81" i="8"/>
  <c r="B33" i="8"/>
  <c r="B82" i="8"/>
  <c r="K82" i="8"/>
  <c r="B38" i="8"/>
  <c r="B87" i="8"/>
  <c r="K87" i="8"/>
  <c r="B39" i="8"/>
  <c r="B88" i="8"/>
  <c r="K88" i="8"/>
  <c r="B40" i="8"/>
  <c r="B89" i="8"/>
  <c r="K89" i="8"/>
  <c r="B41" i="8"/>
  <c r="B90" i="8"/>
  <c r="K90" i="8"/>
  <c r="B42" i="8"/>
  <c r="B91" i="8"/>
  <c r="K91" i="8"/>
  <c r="B43" i="8"/>
  <c r="B92" i="8"/>
  <c r="K92" i="8"/>
  <c r="B44" i="8"/>
  <c r="B93" i="8"/>
  <c r="K93" i="8"/>
  <c r="B45" i="8"/>
  <c r="B94" i="8"/>
  <c r="K94" i="8"/>
  <c r="B46" i="8"/>
  <c r="B95" i="8"/>
  <c r="K95" i="8"/>
  <c r="B47" i="8"/>
  <c r="B96" i="8"/>
  <c r="K96" i="8"/>
  <c r="B48" i="8"/>
  <c r="B97" i="8"/>
  <c r="K97" i="8"/>
  <c r="B49" i="8"/>
  <c r="B98" i="8"/>
  <c r="K98" i="8"/>
  <c r="B50" i="8"/>
  <c r="B99" i="8"/>
  <c r="K99" i="8"/>
  <c r="B51" i="8"/>
  <c r="B100" i="8"/>
  <c r="K100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E88" i="9"/>
  <c r="E100" i="9"/>
  <c r="T26" i="12"/>
  <c r="F91" i="9"/>
  <c r="H78" i="12"/>
  <c r="C29" i="12"/>
  <c r="C78" i="12"/>
  <c r="D78" i="12"/>
  <c r="I78" i="12"/>
  <c r="G30" i="12"/>
  <c r="H79" i="12"/>
  <c r="C30" i="12"/>
  <c r="C79" i="12"/>
  <c r="D79" i="12"/>
  <c r="I79" i="12"/>
  <c r="G31" i="12"/>
  <c r="H80" i="12"/>
  <c r="C31" i="12"/>
  <c r="C80" i="12"/>
  <c r="D80" i="12"/>
  <c r="I80" i="12"/>
  <c r="G32" i="12"/>
  <c r="H81" i="12"/>
  <c r="C32" i="12"/>
  <c r="C81" i="12"/>
  <c r="D81" i="12"/>
  <c r="I81" i="12"/>
  <c r="G33" i="12"/>
  <c r="H82" i="12"/>
  <c r="C33" i="12"/>
  <c r="C82" i="12"/>
  <c r="D82" i="12"/>
  <c r="I82" i="12"/>
  <c r="G34" i="12"/>
  <c r="H83" i="12"/>
  <c r="C34" i="12"/>
  <c r="C83" i="12"/>
  <c r="D83" i="12"/>
  <c r="I83" i="12"/>
  <c r="G35" i="12"/>
  <c r="H84" i="12"/>
  <c r="C35" i="12"/>
  <c r="C84" i="12"/>
  <c r="D84" i="12"/>
  <c r="I84" i="12"/>
  <c r="G36" i="12"/>
  <c r="H85" i="12"/>
  <c r="C36" i="12"/>
  <c r="C85" i="12"/>
  <c r="D85" i="12"/>
  <c r="I85" i="12"/>
  <c r="G37" i="12"/>
  <c r="H86" i="12"/>
  <c r="C37" i="12"/>
  <c r="C86" i="12"/>
  <c r="D86" i="12"/>
  <c r="I86" i="12"/>
  <c r="G38" i="12"/>
  <c r="H87" i="12"/>
  <c r="C38" i="12"/>
  <c r="C87" i="12"/>
  <c r="D87" i="12"/>
  <c r="I87" i="12"/>
  <c r="G39" i="12"/>
  <c r="H88" i="12"/>
  <c r="C39" i="12"/>
  <c r="C88" i="12"/>
  <c r="D88" i="12"/>
  <c r="I88" i="12"/>
  <c r="G40" i="12"/>
  <c r="H89" i="12"/>
  <c r="C40" i="12"/>
  <c r="C89" i="12"/>
  <c r="D89" i="12"/>
  <c r="I89" i="12"/>
  <c r="G41" i="12"/>
  <c r="H90" i="12"/>
  <c r="C41" i="12"/>
  <c r="C90" i="12"/>
  <c r="D90" i="12"/>
  <c r="I90" i="12"/>
  <c r="G42" i="12"/>
  <c r="H91" i="12"/>
  <c r="C42" i="12"/>
  <c r="C91" i="12"/>
  <c r="D91" i="12"/>
  <c r="I91" i="12"/>
  <c r="G43" i="12"/>
  <c r="H92" i="12"/>
  <c r="C43" i="12"/>
  <c r="C92" i="12"/>
  <c r="D92" i="12"/>
  <c r="I92" i="12"/>
  <c r="G44" i="12"/>
  <c r="H93" i="12"/>
  <c r="C44" i="12"/>
  <c r="C93" i="12"/>
  <c r="D93" i="12"/>
  <c r="I93" i="12"/>
  <c r="G45" i="12"/>
  <c r="H94" i="12"/>
  <c r="C45" i="12"/>
  <c r="C94" i="12"/>
  <c r="D94" i="12"/>
  <c r="I94" i="12"/>
  <c r="G46" i="12"/>
  <c r="H95" i="12"/>
  <c r="C46" i="12"/>
  <c r="C95" i="12"/>
  <c r="D95" i="12"/>
  <c r="I95" i="12"/>
  <c r="G47" i="12"/>
  <c r="H96" i="12"/>
  <c r="C47" i="12"/>
  <c r="C96" i="12"/>
  <c r="D96" i="12"/>
  <c r="I96" i="12"/>
  <c r="G48" i="12"/>
  <c r="H97" i="12"/>
  <c r="C48" i="12"/>
  <c r="C97" i="12"/>
  <c r="D97" i="12"/>
  <c r="I97" i="12"/>
  <c r="G49" i="12"/>
  <c r="H98" i="12"/>
  <c r="C49" i="12"/>
  <c r="C98" i="12"/>
  <c r="D98" i="12"/>
  <c r="I98" i="12"/>
  <c r="G50" i="12"/>
  <c r="H99" i="12"/>
  <c r="C50" i="12"/>
  <c r="C99" i="12"/>
  <c r="D99" i="12"/>
  <c r="I99" i="12"/>
  <c r="G51" i="12"/>
  <c r="H100" i="12"/>
  <c r="C51" i="12"/>
  <c r="C100" i="12"/>
  <c r="D100" i="12"/>
  <c r="I100" i="12"/>
  <c r="I101" i="12"/>
  <c r="H106" i="12"/>
  <c r="B106" i="12"/>
  <c r="I106" i="12"/>
  <c r="I22" i="12"/>
  <c r="C6" i="12"/>
  <c r="D6" i="12"/>
  <c r="I6" i="12"/>
  <c r="C7" i="12"/>
  <c r="D7" i="12"/>
  <c r="I7" i="12"/>
  <c r="C8" i="12"/>
  <c r="D8" i="12"/>
  <c r="I8" i="12"/>
  <c r="C9" i="12"/>
  <c r="D9" i="12"/>
  <c r="I9" i="12"/>
  <c r="C10" i="12"/>
  <c r="D10" i="12"/>
  <c r="I10" i="12"/>
  <c r="C11" i="12"/>
  <c r="D11" i="12"/>
  <c r="I11" i="12"/>
  <c r="C12" i="12"/>
  <c r="D12" i="12"/>
  <c r="I12" i="12"/>
  <c r="C13" i="12"/>
  <c r="D13" i="12"/>
  <c r="I13" i="12"/>
  <c r="C14" i="12"/>
  <c r="D14" i="12"/>
  <c r="I14" i="12"/>
  <c r="C15" i="12"/>
  <c r="D15" i="12"/>
  <c r="I15" i="12"/>
  <c r="C16" i="12"/>
  <c r="D16" i="12"/>
  <c r="I16" i="12"/>
  <c r="C17" i="12"/>
  <c r="D17" i="12"/>
  <c r="I17" i="12"/>
  <c r="C18" i="12"/>
  <c r="D18" i="12"/>
  <c r="I18" i="12"/>
  <c r="C19" i="12"/>
  <c r="D19" i="12"/>
  <c r="I19" i="12"/>
  <c r="C20" i="12"/>
  <c r="D20" i="12"/>
  <c r="I20" i="12"/>
  <c r="I21" i="12"/>
  <c r="I24" i="12"/>
  <c r="H107" i="12"/>
  <c r="H108" i="12"/>
  <c r="H109" i="12"/>
  <c r="I110" i="12"/>
  <c r="B107" i="12"/>
  <c r="B108" i="12"/>
  <c r="B60" i="12"/>
  <c r="B109" i="12"/>
  <c r="I113" i="12"/>
  <c r="J8" i="12"/>
  <c r="M8" i="12"/>
  <c r="J9" i="12"/>
  <c r="M9" i="12"/>
  <c r="J10" i="12"/>
  <c r="M10" i="12"/>
  <c r="J11" i="12"/>
  <c r="M11" i="12"/>
  <c r="J6" i="12"/>
  <c r="M6" i="12"/>
  <c r="J7" i="12"/>
  <c r="M7" i="12"/>
  <c r="J12" i="12"/>
  <c r="M12" i="12"/>
  <c r="J13" i="12"/>
  <c r="M13" i="12"/>
  <c r="J14" i="12"/>
  <c r="M14" i="12"/>
  <c r="J15" i="12"/>
  <c r="M15" i="12"/>
  <c r="J16" i="12"/>
  <c r="M16" i="12"/>
  <c r="J17" i="12"/>
  <c r="M17" i="12"/>
  <c r="J18" i="12"/>
  <c r="M18" i="12"/>
  <c r="J19" i="12"/>
  <c r="M19" i="12"/>
  <c r="J20" i="12"/>
  <c r="M20" i="12"/>
  <c r="T7" i="12"/>
  <c r="J83" i="12"/>
  <c r="M83" i="12"/>
  <c r="J84" i="12"/>
  <c r="M84" i="12"/>
  <c r="J85" i="12"/>
  <c r="M85" i="12"/>
  <c r="J86" i="12"/>
  <c r="M86" i="12"/>
  <c r="J78" i="12"/>
  <c r="M78" i="12"/>
  <c r="J79" i="12"/>
  <c r="M79" i="12"/>
  <c r="J80" i="12"/>
  <c r="M80" i="12"/>
  <c r="J81" i="12"/>
  <c r="M81" i="12"/>
  <c r="J82" i="12"/>
  <c r="M82" i="12"/>
  <c r="J87" i="12"/>
  <c r="M87" i="12"/>
  <c r="J88" i="12"/>
  <c r="M88" i="12"/>
  <c r="J89" i="12"/>
  <c r="M89" i="12"/>
  <c r="J90" i="12"/>
  <c r="M90" i="12"/>
  <c r="J91" i="12"/>
  <c r="M91" i="12"/>
  <c r="J92" i="12"/>
  <c r="M92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6" i="12"/>
  <c r="B22" i="12"/>
  <c r="K22" i="12"/>
  <c r="B101" i="12"/>
  <c r="L22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K21" i="12"/>
  <c r="L21" i="12"/>
  <c r="L24" i="12"/>
  <c r="L107" i="12"/>
  <c r="K107" i="12"/>
  <c r="J25" i="12"/>
  <c r="J93" i="12"/>
  <c r="M93" i="12"/>
  <c r="J94" i="12"/>
  <c r="M94" i="12"/>
  <c r="J95" i="12"/>
  <c r="M95" i="12"/>
  <c r="J96" i="12"/>
  <c r="M96" i="12"/>
  <c r="J97" i="12"/>
  <c r="M97" i="12"/>
  <c r="J98" i="12"/>
  <c r="M98" i="12"/>
  <c r="J99" i="12"/>
  <c r="M99" i="12"/>
  <c r="J100" i="12"/>
  <c r="M100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F88" i="9"/>
  <c r="F100" i="9"/>
  <c r="T26" i="1"/>
  <c r="G91" i="9"/>
  <c r="H78" i="1"/>
  <c r="C29" i="1"/>
  <c r="C78" i="1"/>
  <c r="D78" i="1"/>
  <c r="I78" i="1"/>
  <c r="G30" i="1"/>
  <c r="H79" i="1"/>
  <c r="C30" i="1"/>
  <c r="C79" i="1"/>
  <c r="D79" i="1"/>
  <c r="I79" i="1"/>
  <c r="G31" i="1"/>
  <c r="H80" i="1"/>
  <c r="C31" i="1"/>
  <c r="C80" i="1"/>
  <c r="D80" i="1"/>
  <c r="I80" i="1"/>
  <c r="G32" i="1"/>
  <c r="H81" i="1"/>
  <c r="C32" i="1"/>
  <c r="C81" i="1"/>
  <c r="D81" i="1"/>
  <c r="I81" i="1"/>
  <c r="G33" i="1"/>
  <c r="H82" i="1"/>
  <c r="C33" i="1"/>
  <c r="C82" i="1"/>
  <c r="D82" i="1"/>
  <c r="I82" i="1"/>
  <c r="G34" i="1"/>
  <c r="H83" i="1"/>
  <c r="C34" i="1"/>
  <c r="C83" i="1"/>
  <c r="D83" i="1"/>
  <c r="I83" i="1"/>
  <c r="G35" i="1"/>
  <c r="H84" i="1"/>
  <c r="C35" i="1"/>
  <c r="C84" i="1"/>
  <c r="D84" i="1"/>
  <c r="I84" i="1"/>
  <c r="G36" i="1"/>
  <c r="H85" i="1"/>
  <c r="C36" i="1"/>
  <c r="C85" i="1"/>
  <c r="D85" i="1"/>
  <c r="I85" i="1"/>
  <c r="G37" i="1"/>
  <c r="H86" i="1"/>
  <c r="C37" i="1"/>
  <c r="C86" i="1"/>
  <c r="D86" i="1"/>
  <c r="I86" i="1"/>
  <c r="G38" i="1"/>
  <c r="H87" i="1"/>
  <c r="C38" i="1"/>
  <c r="C87" i="1"/>
  <c r="D87" i="1"/>
  <c r="I87" i="1"/>
  <c r="G39" i="1"/>
  <c r="H88" i="1"/>
  <c r="C39" i="1"/>
  <c r="C88" i="1"/>
  <c r="D88" i="1"/>
  <c r="I88" i="1"/>
  <c r="G40" i="1"/>
  <c r="H89" i="1"/>
  <c r="C40" i="1"/>
  <c r="C89" i="1"/>
  <c r="D89" i="1"/>
  <c r="I89" i="1"/>
  <c r="G41" i="1"/>
  <c r="H90" i="1"/>
  <c r="C41" i="1"/>
  <c r="C90" i="1"/>
  <c r="D90" i="1"/>
  <c r="I90" i="1"/>
  <c r="G42" i="1"/>
  <c r="H91" i="1"/>
  <c r="C42" i="1"/>
  <c r="C91" i="1"/>
  <c r="D91" i="1"/>
  <c r="I91" i="1"/>
  <c r="G43" i="1"/>
  <c r="H92" i="1"/>
  <c r="C43" i="1"/>
  <c r="C92" i="1"/>
  <c r="D92" i="1"/>
  <c r="I92" i="1"/>
  <c r="G44" i="1"/>
  <c r="H93" i="1"/>
  <c r="C44" i="1"/>
  <c r="C93" i="1"/>
  <c r="D93" i="1"/>
  <c r="I93" i="1"/>
  <c r="G45" i="1"/>
  <c r="H94" i="1"/>
  <c r="C45" i="1"/>
  <c r="C94" i="1"/>
  <c r="D94" i="1"/>
  <c r="I94" i="1"/>
  <c r="G46" i="1"/>
  <c r="H95" i="1"/>
  <c r="C46" i="1"/>
  <c r="C95" i="1"/>
  <c r="D95" i="1"/>
  <c r="I95" i="1"/>
  <c r="G47" i="1"/>
  <c r="H96" i="1"/>
  <c r="C47" i="1"/>
  <c r="C96" i="1"/>
  <c r="D96" i="1"/>
  <c r="I96" i="1"/>
  <c r="G48" i="1"/>
  <c r="H97" i="1"/>
  <c r="C48" i="1"/>
  <c r="C97" i="1"/>
  <c r="D97" i="1"/>
  <c r="I97" i="1"/>
  <c r="G49" i="1"/>
  <c r="H98" i="1"/>
  <c r="C49" i="1"/>
  <c r="C98" i="1"/>
  <c r="D98" i="1"/>
  <c r="I98" i="1"/>
  <c r="G50" i="1"/>
  <c r="H99" i="1"/>
  <c r="C50" i="1"/>
  <c r="C99" i="1"/>
  <c r="D99" i="1"/>
  <c r="I99" i="1"/>
  <c r="G51" i="1"/>
  <c r="H100" i="1"/>
  <c r="C51" i="1"/>
  <c r="C100" i="1"/>
  <c r="D100" i="1"/>
  <c r="I100" i="1"/>
  <c r="I101" i="1"/>
  <c r="H106" i="1"/>
  <c r="B106" i="1"/>
  <c r="I106" i="1"/>
  <c r="H107" i="1"/>
  <c r="B107" i="1"/>
  <c r="I107" i="1"/>
  <c r="I22" i="1"/>
  <c r="C6" i="1"/>
  <c r="D6" i="1"/>
  <c r="H6" i="1"/>
  <c r="I6" i="1"/>
  <c r="C7" i="1"/>
  <c r="D7" i="1"/>
  <c r="H7" i="1"/>
  <c r="I7" i="1"/>
  <c r="C8" i="1"/>
  <c r="D8" i="1"/>
  <c r="H8" i="1"/>
  <c r="I8" i="1"/>
  <c r="C9" i="1"/>
  <c r="D9" i="1"/>
  <c r="H9" i="1"/>
  <c r="I9" i="1"/>
  <c r="C10" i="1"/>
  <c r="D10" i="1"/>
  <c r="H10" i="1"/>
  <c r="I10" i="1"/>
  <c r="C11" i="1"/>
  <c r="D11" i="1"/>
  <c r="H11" i="1"/>
  <c r="I11" i="1"/>
  <c r="C12" i="1"/>
  <c r="D12" i="1"/>
  <c r="H12" i="1"/>
  <c r="I12" i="1"/>
  <c r="C13" i="1"/>
  <c r="D13" i="1"/>
  <c r="H13" i="1"/>
  <c r="I13" i="1"/>
  <c r="C14" i="1"/>
  <c r="D14" i="1"/>
  <c r="H14" i="1"/>
  <c r="I14" i="1"/>
  <c r="C15" i="1"/>
  <c r="D15" i="1"/>
  <c r="H15" i="1"/>
  <c r="I15" i="1"/>
  <c r="C16" i="1"/>
  <c r="D16" i="1"/>
  <c r="H16" i="1"/>
  <c r="I16" i="1"/>
  <c r="C17" i="1"/>
  <c r="D17" i="1"/>
  <c r="H17" i="1"/>
  <c r="I17" i="1"/>
  <c r="C18" i="1"/>
  <c r="D18" i="1"/>
  <c r="H18" i="1"/>
  <c r="I18" i="1"/>
  <c r="C19" i="1"/>
  <c r="D19" i="1"/>
  <c r="H19" i="1"/>
  <c r="I19" i="1"/>
  <c r="C20" i="1"/>
  <c r="D20" i="1"/>
  <c r="H20" i="1"/>
  <c r="I20" i="1"/>
  <c r="I21" i="1"/>
  <c r="I24" i="1"/>
  <c r="H108" i="1"/>
  <c r="H109" i="1"/>
  <c r="I110" i="1"/>
  <c r="B108" i="1"/>
  <c r="B60" i="1"/>
  <c r="B109" i="1"/>
  <c r="I113" i="1"/>
  <c r="J8" i="1"/>
  <c r="M8" i="1"/>
  <c r="J9" i="1"/>
  <c r="M9" i="1"/>
  <c r="J10" i="1"/>
  <c r="M10" i="1"/>
  <c r="J11" i="1"/>
  <c r="M11" i="1"/>
  <c r="J6" i="1"/>
  <c r="M6" i="1"/>
  <c r="J7" i="1"/>
  <c r="M7" i="1"/>
  <c r="J12" i="1"/>
  <c r="M12" i="1"/>
  <c r="J13" i="1"/>
  <c r="M13" i="1"/>
  <c r="J14" i="1"/>
  <c r="M14" i="1"/>
  <c r="J15" i="1"/>
  <c r="M15" i="1"/>
  <c r="J16" i="1"/>
  <c r="M16" i="1"/>
  <c r="J17" i="1"/>
  <c r="M17" i="1"/>
  <c r="J18" i="1"/>
  <c r="M18" i="1"/>
  <c r="J19" i="1"/>
  <c r="M19" i="1"/>
  <c r="J20" i="1"/>
  <c r="M20" i="1"/>
  <c r="T7" i="1"/>
  <c r="J83" i="1"/>
  <c r="M83" i="1"/>
  <c r="J84" i="1"/>
  <c r="M84" i="1"/>
  <c r="J85" i="1"/>
  <c r="M85" i="1"/>
  <c r="J86" i="1"/>
  <c r="M86" i="1"/>
  <c r="J78" i="1"/>
  <c r="M78" i="1"/>
  <c r="J79" i="1"/>
  <c r="M79" i="1"/>
  <c r="J80" i="1"/>
  <c r="M80" i="1"/>
  <c r="J81" i="1"/>
  <c r="M81" i="1"/>
  <c r="J82" i="1"/>
  <c r="M82" i="1"/>
  <c r="J87" i="1"/>
  <c r="M87" i="1"/>
  <c r="J88" i="1"/>
  <c r="M88" i="1"/>
  <c r="J89" i="1"/>
  <c r="M89" i="1"/>
  <c r="J90" i="1"/>
  <c r="M90" i="1"/>
  <c r="J91" i="1"/>
  <c r="M91" i="1"/>
  <c r="J92" i="1"/>
  <c r="M92" i="1"/>
  <c r="J93" i="1"/>
  <c r="M93" i="1"/>
  <c r="J94" i="1"/>
  <c r="M94" i="1"/>
  <c r="J95" i="1"/>
  <c r="M95" i="1"/>
  <c r="J96" i="1"/>
  <c r="M96" i="1"/>
  <c r="J97" i="1"/>
  <c r="M97" i="1"/>
  <c r="J98" i="1"/>
  <c r="M98" i="1"/>
  <c r="J99" i="1"/>
  <c r="M99" i="1"/>
  <c r="J100" i="1"/>
  <c r="M100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G88" i="9"/>
  <c r="G100" i="9"/>
  <c r="T26" i="7"/>
  <c r="H91" i="9"/>
  <c r="H78" i="7"/>
  <c r="C29" i="7"/>
  <c r="C78" i="7"/>
  <c r="D78" i="7"/>
  <c r="I78" i="7"/>
  <c r="G30" i="7"/>
  <c r="H79" i="7"/>
  <c r="C30" i="7"/>
  <c r="C79" i="7"/>
  <c r="D79" i="7"/>
  <c r="I79" i="7"/>
  <c r="G31" i="7"/>
  <c r="H80" i="7"/>
  <c r="C31" i="7"/>
  <c r="C80" i="7"/>
  <c r="D80" i="7"/>
  <c r="I80" i="7"/>
  <c r="G32" i="7"/>
  <c r="H81" i="7"/>
  <c r="C32" i="7"/>
  <c r="C81" i="7"/>
  <c r="D81" i="7"/>
  <c r="I81" i="7"/>
  <c r="G33" i="7"/>
  <c r="H82" i="7"/>
  <c r="C33" i="7"/>
  <c r="C82" i="7"/>
  <c r="D82" i="7"/>
  <c r="I82" i="7"/>
  <c r="G34" i="7"/>
  <c r="H83" i="7"/>
  <c r="C34" i="7"/>
  <c r="C83" i="7"/>
  <c r="D83" i="7"/>
  <c r="I83" i="7"/>
  <c r="G35" i="7"/>
  <c r="H84" i="7"/>
  <c r="C35" i="7"/>
  <c r="C84" i="7"/>
  <c r="D84" i="7"/>
  <c r="I84" i="7"/>
  <c r="G36" i="7"/>
  <c r="H85" i="7"/>
  <c r="C36" i="7"/>
  <c r="C85" i="7"/>
  <c r="D85" i="7"/>
  <c r="I85" i="7"/>
  <c r="G37" i="7"/>
  <c r="H86" i="7"/>
  <c r="C37" i="7"/>
  <c r="C86" i="7"/>
  <c r="D86" i="7"/>
  <c r="I86" i="7"/>
  <c r="G38" i="7"/>
  <c r="H87" i="7"/>
  <c r="C38" i="7"/>
  <c r="C87" i="7"/>
  <c r="D87" i="7"/>
  <c r="I87" i="7"/>
  <c r="G39" i="7"/>
  <c r="H88" i="7"/>
  <c r="C39" i="7"/>
  <c r="C88" i="7"/>
  <c r="D88" i="7"/>
  <c r="I88" i="7"/>
  <c r="G40" i="7"/>
  <c r="H89" i="7"/>
  <c r="C40" i="7"/>
  <c r="C89" i="7"/>
  <c r="D89" i="7"/>
  <c r="I89" i="7"/>
  <c r="G41" i="7"/>
  <c r="H90" i="7"/>
  <c r="C41" i="7"/>
  <c r="C90" i="7"/>
  <c r="D90" i="7"/>
  <c r="I90" i="7"/>
  <c r="G42" i="7"/>
  <c r="H91" i="7"/>
  <c r="C42" i="7"/>
  <c r="C91" i="7"/>
  <c r="D91" i="7"/>
  <c r="I91" i="7"/>
  <c r="G43" i="7"/>
  <c r="H92" i="7"/>
  <c r="C43" i="7"/>
  <c r="C92" i="7"/>
  <c r="D92" i="7"/>
  <c r="I92" i="7"/>
  <c r="G44" i="7"/>
  <c r="H93" i="7"/>
  <c r="C44" i="7"/>
  <c r="C93" i="7"/>
  <c r="D93" i="7"/>
  <c r="I93" i="7"/>
  <c r="G45" i="7"/>
  <c r="H94" i="7"/>
  <c r="C45" i="7"/>
  <c r="C94" i="7"/>
  <c r="D94" i="7"/>
  <c r="I94" i="7"/>
  <c r="G46" i="7"/>
  <c r="H95" i="7"/>
  <c r="C46" i="7"/>
  <c r="C95" i="7"/>
  <c r="D95" i="7"/>
  <c r="I95" i="7"/>
  <c r="G47" i="7"/>
  <c r="H96" i="7"/>
  <c r="C47" i="7"/>
  <c r="C96" i="7"/>
  <c r="D96" i="7"/>
  <c r="I96" i="7"/>
  <c r="G48" i="7"/>
  <c r="H97" i="7"/>
  <c r="C48" i="7"/>
  <c r="C97" i="7"/>
  <c r="D97" i="7"/>
  <c r="I97" i="7"/>
  <c r="G49" i="7"/>
  <c r="H98" i="7"/>
  <c r="C49" i="7"/>
  <c r="C98" i="7"/>
  <c r="D98" i="7"/>
  <c r="I98" i="7"/>
  <c r="G50" i="7"/>
  <c r="H99" i="7"/>
  <c r="C50" i="7"/>
  <c r="C99" i="7"/>
  <c r="D99" i="7"/>
  <c r="I99" i="7"/>
  <c r="G51" i="7"/>
  <c r="H100" i="7"/>
  <c r="C51" i="7"/>
  <c r="C100" i="7"/>
  <c r="D100" i="7"/>
  <c r="I100" i="7"/>
  <c r="I101" i="7"/>
  <c r="H106" i="7"/>
  <c r="B106" i="7"/>
  <c r="I106" i="7"/>
  <c r="I22" i="7"/>
  <c r="C6" i="7"/>
  <c r="D6" i="7"/>
  <c r="I6" i="7"/>
  <c r="C7" i="7"/>
  <c r="D7" i="7"/>
  <c r="I7" i="7"/>
  <c r="C8" i="7"/>
  <c r="D8" i="7"/>
  <c r="I8" i="7"/>
  <c r="C9" i="7"/>
  <c r="D9" i="7"/>
  <c r="I9" i="7"/>
  <c r="C10" i="7"/>
  <c r="D10" i="7"/>
  <c r="I10" i="7"/>
  <c r="C11" i="7"/>
  <c r="D11" i="7"/>
  <c r="I11" i="7"/>
  <c r="C12" i="7"/>
  <c r="D12" i="7"/>
  <c r="I12" i="7"/>
  <c r="C13" i="7"/>
  <c r="D13" i="7"/>
  <c r="I13" i="7"/>
  <c r="C14" i="7"/>
  <c r="D14" i="7"/>
  <c r="I14" i="7"/>
  <c r="C15" i="7"/>
  <c r="D15" i="7"/>
  <c r="I15" i="7"/>
  <c r="C16" i="7"/>
  <c r="D16" i="7"/>
  <c r="I16" i="7"/>
  <c r="C17" i="7"/>
  <c r="D17" i="7"/>
  <c r="I17" i="7"/>
  <c r="C18" i="7"/>
  <c r="D18" i="7"/>
  <c r="I18" i="7"/>
  <c r="C19" i="7"/>
  <c r="D19" i="7"/>
  <c r="I19" i="7"/>
  <c r="C20" i="7"/>
  <c r="D20" i="7"/>
  <c r="I20" i="7"/>
  <c r="I21" i="7"/>
  <c r="I24" i="7"/>
  <c r="H107" i="7"/>
  <c r="H108" i="7"/>
  <c r="H109" i="7"/>
  <c r="I110" i="7"/>
  <c r="B107" i="7"/>
  <c r="B108" i="7"/>
  <c r="B60" i="7"/>
  <c r="B109" i="7"/>
  <c r="I113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6" i="7"/>
  <c r="B22" i="7"/>
  <c r="K22" i="7"/>
  <c r="B101" i="7"/>
  <c r="L22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K21" i="7"/>
  <c r="L21" i="7"/>
  <c r="L24" i="7"/>
  <c r="L107" i="7"/>
  <c r="K107" i="7"/>
  <c r="J25" i="7"/>
  <c r="J8" i="7"/>
  <c r="M8" i="7"/>
  <c r="J9" i="7"/>
  <c r="M9" i="7"/>
  <c r="J10" i="7"/>
  <c r="M10" i="7"/>
  <c r="J11" i="7"/>
  <c r="M11" i="7"/>
  <c r="J6" i="7"/>
  <c r="M6" i="7"/>
  <c r="J7" i="7"/>
  <c r="M7" i="7"/>
  <c r="J12" i="7"/>
  <c r="M12" i="7"/>
  <c r="J13" i="7"/>
  <c r="M13" i="7"/>
  <c r="J14" i="7"/>
  <c r="M14" i="7"/>
  <c r="J15" i="7"/>
  <c r="M15" i="7"/>
  <c r="J16" i="7"/>
  <c r="M16" i="7"/>
  <c r="J17" i="7"/>
  <c r="M17" i="7"/>
  <c r="J18" i="7"/>
  <c r="M18" i="7"/>
  <c r="J19" i="7"/>
  <c r="M19" i="7"/>
  <c r="J20" i="7"/>
  <c r="M20" i="7"/>
  <c r="T7" i="7"/>
  <c r="J83" i="7"/>
  <c r="M83" i="7"/>
  <c r="J84" i="7"/>
  <c r="M84" i="7"/>
  <c r="J85" i="7"/>
  <c r="M85" i="7"/>
  <c r="J86" i="7"/>
  <c r="M86" i="7"/>
  <c r="J78" i="7"/>
  <c r="M78" i="7"/>
  <c r="J79" i="7"/>
  <c r="M79" i="7"/>
  <c r="J80" i="7"/>
  <c r="M80" i="7"/>
  <c r="J81" i="7"/>
  <c r="M81" i="7"/>
  <c r="J82" i="7"/>
  <c r="M82" i="7"/>
  <c r="J87" i="7"/>
  <c r="M87" i="7"/>
  <c r="J88" i="7"/>
  <c r="M88" i="7"/>
  <c r="J89" i="7"/>
  <c r="M89" i="7"/>
  <c r="J90" i="7"/>
  <c r="M90" i="7"/>
  <c r="J91" i="7"/>
  <c r="M91" i="7"/>
  <c r="J92" i="7"/>
  <c r="M92" i="7"/>
  <c r="J93" i="7"/>
  <c r="M93" i="7"/>
  <c r="J94" i="7"/>
  <c r="M94" i="7"/>
  <c r="J95" i="7"/>
  <c r="M95" i="7"/>
  <c r="J96" i="7"/>
  <c r="M96" i="7"/>
  <c r="J97" i="7"/>
  <c r="M97" i="7"/>
  <c r="J98" i="7"/>
  <c r="M98" i="7"/>
  <c r="J99" i="7"/>
  <c r="M99" i="7"/>
  <c r="J100" i="7"/>
  <c r="M100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H88" i="9"/>
  <c r="H100" i="9"/>
  <c r="T26" i="8"/>
  <c r="I91" i="9"/>
  <c r="H78" i="8"/>
  <c r="C29" i="8"/>
  <c r="C78" i="8"/>
  <c r="D78" i="8"/>
  <c r="I78" i="8"/>
  <c r="G30" i="8"/>
  <c r="H79" i="8"/>
  <c r="C30" i="8"/>
  <c r="C79" i="8"/>
  <c r="D79" i="8"/>
  <c r="I79" i="8"/>
  <c r="G31" i="8"/>
  <c r="H80" i="8"/>
  <c r="C31" i="8"/>
  <c r="C80" i="8"/>
  <c r="D80" i="8"/>
  <c r="I80" i="8"/>
  <c r="G32" i="8"/>
  <c r="H81" i="8"/>
  <c r="C32" i="8"/>
  <c r="C81" i="8"/>
  <c r="D81" i="8"/>
  <c r="I81" i="8"/>
  <c r="G33" i="8"/>
  <c r="H82" i="8"/>
  <c r="C33" i="8"/>
  <c r="C82" i="8"/>
  <c r="D82" i="8"/>
  <c r="I82" i="8"/>
  <c r="G34" i="8"/>
  <c r="H83" i="8"/>
  <c r="C34" i="8"/>
  <c r="C83" i="8"/>
  <c r="D83" i="8"/>
  <c r="I83" i="8"/>
  <c r="G35" i="8"/>
  <c r="H84" i="8"/>
  <c r="C35" i="8"/>
  <c r="C84" i="8"/>
  <c r="D84" i="8"/>
  <c r="I84" i="8"/>
  <c r="G36" i="8"/>
  <c r="H85" i="8"/>
  <c r="C36" i="8"/>
  <c r="C85" i="8"/>
  <c r="D85" i="8"/>
  <c r="I85" i="8"/>
  <c r="G37" i="8"/>
  <c r="H86" i="8"/>
  <c r="C37" i="8"/>
  <c r="C86" i="8"/>
  <c r="D86" i="8"/>
  <c r="I86" i="8"/>
  <c r="G38" i="8"/>
  <c r="H87" i="8"/>
  <c r="C38" i="8"/>
  <c r="C87" i="8"/>
  <c r="D87" i="8"/>
  <c r="I87" i="8"/>
  <c r="G39" i="8"/>
  <c r="H88" i="8"/>
  <c r="C39" i="8"/>
  <c r="C88" i="8"/>
  <c r="D88" i="8"/>
  <c r="I88" i="8"/>
  <c r="G40" i="8"/>
  <c r="H89" i="8"/>
  <c r="C40" i="8"/>
  <c r="C89" i="8"/>
  <c r="D89" i="8"/>
  <c r="I89" i="8"/>
  <c r="G41" i="8"/>
  <c r="H90" i="8"/>
  <c r="C41" i="8"/>
  <c r="C90" i="8"/>
  <c r="D90" i="8"/>
  <c r="I90" i="8"/>
  <c r="G42" i="8"/>
  <c r="H91" i="8"/>
  <c r="C42" i="8"/>
  <c r="C91" i="8"/>
  <c r="D91" i="8"/>
  <c r="I91" i="8"/>
  <c r="G43" i="8"/>
  <c r="H92" i="8"/>
  <c r="C43" i="8"/>
  <c r="C92" i="8"/>
  <c r="D92" i="8"/>
  <c r="I92" i="8"/>
  <c r="G44" i="8"/>
  <c r="H93" i="8"/>
  <c r="C44" i="8"/>
  <c r="C93" i="8"/>
  <c r="D93" i="8"/>
  <c r="I93" i="8"/>
  <c r="G45" i="8"/>
  <c r="H94" i="8"/>
  <c r="C45" i="8"/>
  <c r="C94" i="8"/>
  <c r="D94" i="8"/>
  <c r="I94" i="8"/>
  <c r="G46" i="8"/>
  <c r="H95" i="8"/>
  <c r="C46" i="8"/>
  <c r="C95" i="8"/>
  <c r="D95" i="8"/>
  <c r="I95" i="8"/>
  <c r="G47" i="8"/>
  <c r="H96" i="8"/>
  <c r="C47" i="8"/>
  <c r="C96" i="8"/>
  <c r="D96" i="8"/>
  <c r="I96" i="8"/>
  <c r="G48" i="8"/>
  <c r="H97" i="8"/>
  <c r="C48" i="8"/>
  <c r="C97" i="8"/>
  <c r="D97" i="8"/>
  <c r="I97" i="8"/>
  <c r="G49" i="8"/>
  <c r="H98" i="8"/>
  <c r="C49" i="8"/>
  <c r="C98" i="8"/>
  <c r="D98" i="8"/>
  <c r="I98" i="8"/>
  <c r="G50" i="8"/>
  <c r="H99" i="8"/>
  <c r="C50" i="8"/>
  <c r="C99" i="8"/>
  <c r="D99" i="8"/>
  <c r="I99" i="8"/>
  <c r="G51" i="8"/>
  <c r="H100" i="8"/>
  <c r="C51" i="8"/>
  <c r="C100" i="8"/>
  <c r="D100" i="8"/>
  <c r="I100" i="8"/>
  <c r="I101" i="8"/>
  <c r="H106" i="8"/>
  <c r="B106" i="8"/>
  <c r="I106" i="8"/>
  <c r="I22" i="8"/>
  <c r="C6" i="8"/>
  <c r="D6" i="8"/>
  <c r="I6" i="8"/>
  <c r="C7" i="8"/>
  <c r="D7" i="8"/>
  <c r="I7" i="8"/>
  <c r="C8" i="8"/>
  <c r="D8" i="8"/>
  <c r="I8" i="8"/>
  <c r="C9" i="8"/>
  <c r="D9" i="8"/>
  <c r="I9" i="8"/>
  <c r="C10" i="8"/>
  <c r="D10" i="8"/>
  <c r="I10" i="8"/>
  <c r="C11" i="8"/>
  <c r="D11" i="8"/>
  <c r="I11" i="8"/>
  <c r="C12" i="8"/>
  <c r="D12" i="8"/>
  <c r="I12" i="8"/>
  <c r="C13" i="8"/>
  <c r="D13" i="8"/>
  <c r="I13" i="8"/>
  <c r="C14" i="8"/>
  <c r="D14" i="8"/>
  <c r="I14" i="8"/>
  <c r="C15" i="8"/>
  <c r="D15" i="8"/>
  <c r="I15" i="8"/>
  <c r="C16" i="8"/>
  <c r="D16" i="8"/>
  <c r="I16" i="8"/>
  <c r="C17" i="8"/>
  <c r="D17" i="8"/>
  <c r="I17" i="8"/>
  <c r="C18" i="8"/>
  <c r="D18" i="8"/>
  <c r="I18" i="8"/>
  <c r="C19" i="8"/>
  <c r="D19" i="8"/>
  <c r="I19" i="8"/>
  <c r="C20" i="8"/>
  <c r="D20" i="8"/>
  <c r="I20" i="8"/>
  <c r="I21" i="8"/>
  <c r="I24" i="8"/>
  <c r="H107" i="8"/>
  <c r="H108" i="8"/>
  <c r="H109" i="8"/>
  <c r="I110" i="8"/>
  <c r="B107" i="8"/>
  <c r="B108" i="8"/>
  <c r="B60" i="8"/>
  <c r="B109" i="8"/>
  <c r="I113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6" i="8"/>
  <c r="B22" i="8"/>
  <c r="K22" i="8"/>
  <c r="B101" i="8"/>
  <c r="L22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K21" i="8"/>
  <c r="L21" i="8"/>
  <c r="L24" i="8"/>
  <c r="L107" i="8"/>
  <c r="K107" i="8"/>
  <c r="J25" i="8"/>
  <c r="J8" i="8"/>
  <c r="M8" i="8"/>
  <c r="J9" i="8"/>
  <c r="M9" i="8"/>
  <c r="J10" i="8"/>
  <c r="M10" i="8"/>
  <c r="J11" i="8"/>
  <c r="M11" i="8"/>
  <c r="J6" i="8"/>
  <c r="M6" i="8"/>
  <c r="J7" i="8"/>
  <c r="M7" i="8"/>
  <c r="J12" i="8"/>
  <c r="M12" i="8"/>
  <c r="J13" i="8"/>
  <c r="M13" i="8"/>
  <c r="J14" i="8"/>
  <c r="M14" i="8"/>
  <c r="J15" i="8"/>
  <c r="M15" i="8"/>
  <c r="J16" i="8"/>
  <c r="M16" i="8"/>
  <c r="J17" i="8"/>
  <c r="M17" i="8"/>
  <c r="J18" i="8"/>
  <c r="M18" i="8"/>
  <c r="J19" i="8"/>
  <c r="M19" i="8"/>
  <c r="J20" i="8"/>
  <c r="M20" i="8"/>
  <c r="T7" i="8"/>
  <c r="J83" i="8"/>
  <c r="M83" i="8"/>
  <c r="J84" i="8"/>
  <c r="M84" i="8"/>
  <c r="J85" i="8"/>
  <c r="M85" i="8"/>
  <c r="J86" i="8"/>
  <c r="M86" i="8"/>
  <c r="J78" i="8"/>
  <c r="M78" i="8"/>
  <c r="J79" i="8"/>
  <c r="M79" i="8"/>
  <c r="J80" i="8"/>
  <c r="M80" i="8"/>
  <c r="J81" i="8"/>
  <c r="M81" i="8"/>
  <c r="J82" i="8"/>
  <c r="M82" i="8"/>
  <c r="J87" i="8"/>
  <c r="M87" i="8"/>
  <c r="J88" i="8"/>
  <c r="M88" i="8"/>
  <c r="J89" i="8"/>
  <c r="M89" i="8"/>
  <c r="J90" i="8"/>
  <c r="M90" i="8"/>
  <c r="J91" i="8"/>
  <c r="M91" i="8"/>
  <c r="J92" i="8"/>
  <c r="M92" i="8"/>
  <c r="J93" i="8"/>
  <c r="M93" i="8"/>
  <c r="J94" i="8"/>
  <c r="M94" i="8"/>
  <c r="J95" i="8"/>
  <c r="M95" i="8"/>
  <c r="J96" i="8"/>
  <c r="M96" i="8"/>
  <c r="J97" i="8"/>
  <c r="M97" i="8"/>
  <c r="J98" i="8"/>
  <c r="M98" i="8"/>
  <c r="J99" i="8"/>
  <c r="M99" i="8"/>
  <c r="J100" i="8"/>
  <c r="M100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I88" i="9"/>
  <c r="I100" i="9"/>
  <c r="R27" i="12"/>
  <c r="B92" i="9"/>
  <c r="B101" i="9"/>
  <c r="R27" i="1"/>
  <c r="C92" i="9"/>
  <c r="C101" i="9"/>
  <c r="R27" i="7"/>
  <c r="D92" i="9"/>
  <c r="D101" i="9"/>
  <c r="R27" i="8"/>
  <c r="E92" i="9"/>
  <c r="E101" i="9"/>
  <c r="T27" i="12"/>
  <c r="F92" i="9"/>
  <c r="F101" i="9"/>
  <c r="T27" i="1"/>
  <c r="G92" i="9"/>
  <c r="G101" i="9"/>
  <c r="T27" i="7"/>
  <c r="H92" i="9"/>
  <c r="H101" i="9"/>
  <c r="T27" i="8"/>
  <c r="I92" i="9"/>
  <c r="I101" i="9"/>
  <c r="R25" i="12"/>
  <c r="B90" i="9"/>
  <c r="B99" i="9"/>
  <c r="R25" i="1"/>
  <c r="C90" i="9"/>
  <c r="C99" i="9"/>
  <c r="R25" i="7"/>
  <c r="D90" i="9"/>
  <c r="D99" i="9"/>
  <c r="R25" i="8"/>
  <c r="E90" i="9"/>
  <c r="E99" i="9"/>
  <c r="T25" i="12"/>
  <c r="F90" i="9"/>
  <c r="F99" i="9"/>
  <c r="T25" i="1"/>
  <c r="G90" i="9"/>
  <c r="G99" i="9"/>
  <c r="T25" i="7"/>
  <c r="H90" i="9"/>
  <c r="H99" i="9"/>
  <c r="T25" i="8"/>
  <c r="I90" i="9"/>
  <c r="I99" i="9"/>
  <c r="R24" i="1"/>
  <c r="C89" i="9"/>
  <c r="C98" i="9"/>
  <c r="R24" i="7"/>
  <c r="D89" i="9"/>
  <c r="D98" i="9"/>
  <c r="R24" i="8"/>
  <c r="E89" i="9"/>
  <c r="E98" i="9"/>
  <c r="T24" i="12"/>
  <c r="F89" i="9"/>
  <c r="F98" i="9"/>
  <c r="T24" i="1"/>
  <c r="G89" i="9"/>
  <c r="G98" i="9"/>
  <c r="T24" i="7"/>
  <c r="H89" i="9"/>
  <c r="H98" i="9"/>
  <c r="T24" i="8"/>
  <c r="I89" i="9"/>
  <c r="I98" i="9"/>
  <c r="R24" i="12"/>
  <c r="B89" i="9"/>
  <c r="B98" i="9"/>
  <c r="K107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21" i="1"/>
  <c r="L21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6" i="1"/>
  <c r="B22" i="1"/>
  <c r="K22" i="1"/>
  <c r="B101" i="1"/>
  <c r="L22" i="1"/>
  <c r="L24" i="1"/>
  <c r="L107" i="1"/>
  <c r="J25" i="1"/>
  <c r="T40" i="1"/>
  <c r="S27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40" i="1"/>
  <c r="R40" i="1"/>
  <c r="T39" i="1"/>
  <c r="S26" i="1"/>
  <c r="S39" i="1"/>
  <c r="R39" i="1"/>
  <c r="T38" i="1"/>
  <c r="S25" i="1"/>
  <c r="S38" i="1"/>
  <c r="R38" i="1"/>
  <c r="T37" i="1"/>
  <c r="S24" i="1"/>
  <c r="S37" i="1"/>
  <c r="R37" i="1"/>
  <c r="E29" i="12"/>
  <c r="E30" i="12"/>
  <c r="E31" i="12"/>
  <c r="T40" i="12"/>
  <c r="S27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40" i="12"/>
  <c r="R40" i="12"/>
  <c r="T39" i="12"/>
  <c r="S26" i="12"/>
  <c r="S39" i="12"/>
  <c r="R39" i="12"/>
  <c r="T38" i="12"/>
  <c r="S25" i="12"/>
  <c r="S38" i="12"/>
  <c r="R38" i="12"/>
  <c r="T37" i="12"/>
  <c r="S24" i="12"/>
  <c r="S37" i="12"/>
  <c r="R37" i="12"/>
  <c r="F58" i="12"/>
  <c r="H58" i="12"/>
  <c r="F59" i="12"/>
  <c r="H59" i="12"/>
  <c r="F60" i="12"/>
  <c r="H60" i="12"/>
  <c r="H58" i="1"/>
  <c r="H59" i="1"/>
  <c r="H60" i="1"/>
  <c r="F58" i="7"/>
  <c r="H58" i="7"/>
  <c r="F59" i="7"/>
  <c r="H59" i="7"/>
  <c r="F60" i="7"/>
  <c r="H60" i="7"/>
  <c r="S27" i="7"/>
  <c r="S26" i="7"/>
  <c r="S25" i="7"/>
  <c r="S24" i="7"/>
  <c r="R35" i="8"/>
  <c r="F58" i="8"/>
  <c r="H58" i="8"/>
  <c r="F59" i="8"/>
  <c r="H59" i="8"/>
  <c r="F60" i="8"/>
  <c r="H60" i="8"/>
  <c r="T35" i="8"/>
  <c r="S35" i="8"/>
  <c r="T34" i="8"/>
  <c r="S34" i="8"/>
  <c r="R34" i="8"/>
  <c r="T33" i="8"/>
  <c r="S33" i="8"/>
  <c r="R33" i="8"/>
  <c r="T32" i="8"/>
  <c r="S32" i="8"/>
  <c r="R32" i="8"/>
  <c r="T35" i="7"/>
  <c r="S35" i="7"/>
  <c r="R35" i="7"/>
  <c r="T34" i="7"/>
  <c r="S34" i="7"/>
  <c r="R34" i="7"/>
  <c r="T33" i="7"/>
  <c r="S33" i="7"/>
  <c r="R33" i="7"/>
  <c r="T32" i="7"/>
  <c r="S32" i="7"/>
  <c r="R32" i="7"/>
  <c r="T35" i="12"/>
  <c r="S35" i="12"/>
  <c r="R35" i="12"/>
  <c r="T34" i="12"/>
  <c r="S34" i="12"/>
  <c r="R34" i="12"/>
  <c r="T33" i="12"/>
  <c r="S33" i="12"/>
  <c r="R33" i="12"/>
  <c r="T32" i="12"/>
  <c r="S32" i="12"/>
  <c r="R32" i="12"/>
  <c r="T33" i="1"/>
  <c r="S33" i="1"/>
  <c r="T34" i="1"/>
  <c r="T35" i="1"/>
  <c r="S35" i="1"/>
  <c r="S34" i="1"/>
  <c r="R35" i="1"/>
  <c r="R34" i="1"/>
  <c r="S27" i="8"/>
  <c r="S26" i="8"/>
  <c r="S25" i="8"/>
  <c r="S24" i="8"/>
  <c r="T32" i="1"/>
  <c r="S32" i="1"/>
  <c r="R33" i="1"/>
  <c r="R32" i="1"/>
  <c r="U27" i="7"/>
  <c r="U26" i="7"/>
  <c r="U25" i="7"/>
  <c r="U24" i="7"/>
  <c r="U27" i="12"/>
  <c r="U26" i="12"/>
  <c r="U25" i="12"/>
  <c r="U24" i="12"/>
  <c r="E34" i="1"/>
  <c r="E35" i="1"/>
  <c r="I108" i="1"/>
  <c r="U27" i="8"/>
  <c r="U26" i="8"/>
  <c r="U25" i="8"/>
  <c r="U24" i="8"/>
  <c r="U27" i="1"/>
  <c r="U26" i="1"/>
  <c r="U25" i="1"/>
  <c r="U24" i="1"/>
  <c r="E57" i="7"/>
  <c r="E57" i="8"/>
  <c r="F9" i="8"/>
  <c r="E58" i="7"/>
  <c r="E58" i="8"/>
  <c r="E59" i="7"/>
  <c r="E59" i="8"/>
  <c r="E60" i="7"/>
  <c r="E60" i="8"/>
  <c r="E21" i="7"/>
  <c r="E21" i="8"/>
  <c r="H21" i="8"/>
  <c r="E20" i="7"/>
  <c r="E20" i="8"/>
  <c r="H20" i="8"/>
  <c r="F9" i="7"/>
  <c r="H21" i="7"/>
  <c r="H20" i="7"/>
  <c r="E57" i="12"/>
  <c r="F9" i="12"/>
  <c r="E58" i="12"/>
  <c r="E59" i="12"/>
  <c r="E60" i="12"/>
  <c r="E21" i="12"/>
  <c r="H21" i="12"/>
  <c r="E20" i="12"/>
  <c r="H20" i="12"/>
  <c r="I96" i="9"/>
  <c r="H96" i="9"/>
  <c r="B52" i="8"/>
  <c r="B63" i="8"/>
  <c r="K59" i="8"/>
  <c r="E44" i="7"/>
  <c r="E44" i="8"/>
  <c r="F44" i="7"/>
  <c r="F44" i="8"/>
  <c r="E29" i="7"/>
  <c r="E29" i="8"/>
  <c r="F29" i="7"/>
  <c r="F29" i="8"/>
  <c r="E30" i="7"/>
  <c r="E30" i="8"/>
  <c r="F30" i="7"/>
  <c r="F30" i="8"/>
  <c r="E31" i="7"/>
  <c r="E31" i="8"/>
  <c r="F31" i="7"/>
  <c r="F31" i="8"/>
  <c r="E32" i="7"/>
  <c r="E32" i="8"/>
  <c r="F32" i="7"/>
  <c r="F32" i="8"/>
  <c r="E33" i="7"/>
  <c r="E33" i="8"/>
  <c r="F33" i="7"/>
  <c r="F33" i="8"/>
  <c r="E34" i="7"/>
  <c r="E34" i="8"/>
  <c r="F34" i="7"/>
  <c r="F34" i="8"/>
  <c r="E35" i="7"/>
  <c r="E35" i="8"/>
  <c r="F35" i="7"/>
  <c r="F35" i="8"/>
  <c r="E36" i="7"/>
  <c r="E36" i="8"/>
  <c r="F36" i="7"/>
  <c r="F36" i="8"/>
  <c r="E37" i="7"/>
  <c r="E37" i="8"/>
  <c r="F37" i="7"/>
  <c r="F37" i="8"/>
  <c r="E38" i="7"/>
  <c r="E38" i="8"/>
  <c r="F38" i="7"/>
  <c r="F38" i="8"/>
  <c r="E39" i="7"/>
  <c r="E39" i="8"/>
  <c r="F39" i="7"/>
  <c r="F39" i="8"/>
  <c r="E40" i="7"/>
  <c r="E40" i="8"/>
  <c r="F40" i="7"/>
  <c r="F40" i="8"/>
  <c r="E41" i="7"/>
  <c r="E41" i="8"/>
  <c r="F41" i="7"/>
  <c r="F41" i="8"/>
  <c r="E42" i="7"/>
  <c r="E42" i="8"/>
  <c r="F42" i="7"/>
  <c r="F42" i="8"/>
  <c r="E43" i="7"/>
  <c r="E43" i="8"/>
  <c r="F43" i="7"/>
  <c r="F43" i="8"/>
  <c r="E45" i="7"/>
  <c r="E45" i="8"/>
  <c r="F45" i="7"/>
  <c r="F45" i="8"/>
  <c r="E46" i="7"/>
  <c r="E46" i="8"/>
  <c r="F46" i="7"/>
  <c r="F46" i="8"/>
  <c r="E47" i="7"/>
  <c r="E47" i="8"/>
  <c r="F47" i="7"/>
  <c r="F47" i="8"/>
  <c r="E48" i="7"/>
  <c r="E48" i="8"/>
  <c r="F48" i="7"/>
  <c r="F48" i="8"/>
  <c r="E49" i="7"/>
  <c r="E49" i="8"/>
  <c r="F49" i="7"/>
  <c r="F49" i="8"/>
  <c r="E50" i="7"/>
  <c r="E50" i="8"/>
  <c r="F50" i="7"/>
  <c r="F50" i="8"/>
  <c r="E51" i="7"/>
  <c r="E51" i="8"/>
  <c r="F51" i="7"/>
  <c r="F51" i="8"/>
  <c r="B110" i="8"/>
  <c r="K110" i="8"/>
  <c r="L110" i="8"/>
  <c r="L108" i="8"/>
  <c r="B112" i="8"/>
  <c r="L59" i="8"/>
  <c r="E22" i="7"/>
  <c r="E22" i="8"/>
  <c r="E6" i="7"/>
  <c r="E6" i="8"/>
  <c r="H6" i="8"/>
  <c r="E7" i="7"/>
  <c r="E7" i="8"/>
  <c r="H7" i="8"/>
  <c r="E8" i="7"/>
  <c r="E8" i="8"/>
  <c r="H8" i="8"/>
  <c r="E9" i="7"/>
  <c r="E9" i="8"/>
  <c r="H9" i="8"/>
  <c r="E10" i="7"/>
  <c r="E10" i="8"/>
  <c r="H10" i="8"/>
  <c r="E11" i="7"/>
  <c r="E11" i="8"/>
  <c r="H11" i="8"/>
  <c r="E12" i="7"/>
  <c r="E12" i="8"/>
  <c r="H12" i="8"/>
  <c r="E13" i="7"/>
  <c r="E13" i="8"/>
  <c r="H13" i="8"/>
  <c r="E14" i="7"/>
  <c r="E14" i="8"/>
  <c r="H14" i="8"/>
  <c r="E15" i="7"/>
  <c r="E15" i="8"/>
  <c r="H15" i="8"/>
  <c r="E16" i="7"/>
  <c r="E16" i="8"/>
  <c r="H16" i="8"/>
  <c r="E17" i="7"/>
  <c r="E17" i="8"/>
  <c r="H17" i="8"/>
  <c r="E18" i="7"/>
  <c r="E18" i="8"/>
  <c r="H18" i="8"/>
  <c r="E19" i="7"/>
  <c r="E19" i="8"/>
  <c r="H19" i="8"/>
  <c r="J21" i="8"/>
  <c r="B24" i="8"/>
  <c r="J22" i="8"/>
  <c r="J110" i="8"/>
  <c r="J101" i="8"/>
  <c r="J108" i="8"/>
  <c r="J59" i="8"/>
  <c r="M59" i="8"/>
  <c r="K60" i="8"/>
  <c r="L109" i="8"/>
  <c r="L60" i="8"/>
  <c r="J109" i="8"/>
  <c r="J60" i="8"/>
  <c r="M60" i="8"/>
  <c r="I108" i="8"/>
  <c r="I59" i="8"/>
  <c r="I109" i="8"/>
  <c r="I60" i="8"/>
  <c r="B112" i="7"/>
  <c r="L57" i="7"/>
  <c r="M108" i="8"/>
  <c r="M109" i="8"/>
  <c r="M113" i="8"/>
  <c r="L113" i="8"/>
  <c r="J112" i="8"/>
  <c r="M112" i="8"/>
  <c r="L112" i="8"/>
  <c r="K112" i="8"/>
  <c r="J106" i="8"/>
  <c r="J107" i="8"/>
  <c r="J111" i="8"/>
  <c r="M111" i="8"/>
  <c r="L111" i="8"/>
  <c r="B111" i="8"/>
  <c r="K111" i="8"/>
  <c r="M110" i="8"/>
  <c r="K109" i="8"/>
  <c r="K108" i="8"/>
  <c r="M107" i="8"/>
  <c r="M106" i="8"/>
  <c r="K106" i="8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J101" i="7"/>
  <c r="J21" i="7"/>
  <c r="B24" i="7"/>
  <c r="J22" i="7"/>
  <c r="J110" i="7"/>
  <c r="J108" i="7"/>
  <c r="M108" i="7"/>
  <c r="J109" i="7"/>
  <c r="M109" i="7"/>
  <c r="M113" i="7"/>
  <c r="B110" i="7"/>
  <c r="K110" i="7"/>
  <c r="L110" i="7"/>
  <c r="L108" i="7"/>
  <c r="L109" i="7"/>
  <c r="L113" i="7"/>
  <c r="J112" i="7"/>
  <c r="M112" i="7"/>
  <c r="L112" i="7"/>
  <c r="K112" i="7"/>
  <c r="J106" i="7"/>
  <c r="J107" i="7"/>
  <c r="J111" i="7"/>
  <c r="M111" i="7"/>
  <c r="L111" i="7"/>
  <c r="B111" i="7"/>
  <c r="K111" i="7"/>
  <c r="M110" i="7"/>
  <c r="K109" i="7"/>
  <c r="K108" i="7"/>
  <c r="M107" i="7"/>
  <c r="M106" i="7"/>
  <c r="K106" i="7"/>
  <c r="J113" i="8"/>
  <c r="I112" i="8"/>
  <c r="I107" i="8"/>
  <c r="J113" i="7"/>
  <c r="I112" i="7"/>
  <c r="I109" i="7"/>
  <c r="I108" i="7"/>
  <c r="I107" i="7"/>
  <c r="B61" i="8"/>
  <c r="B62" i="8"/>
  <c r="B52" i="7"/>
  <c r="B63" i="7"/>
  <c r="B61" i="7"/>
  <c r="B62" i="7"/>
  <c r="E44" i="12"/>
  <c r="F44" i="12"/>
  <c r="F29" i="12"/>
  <c r="F30" i="12"/>
  <c r="F31" i="12"/>
  <c r="E32" i="12"/>
  <c r="F32" i="12"/>
  <c r="E33" i="12"/>
  <c r="F33" i="12"/>
  <c r="E34" i="12"/>
  <c r="F34" i="12"/>
  <c r="E35" i="12"/>
  <c r="F35" i="12"/>
  <c r="E36" i="12"/>
  <c r="F36" i="12"/>
  <c r="E37" i="12"/>
  <c r="F37" i="12"/>
  <c r="E38" i="12"/>
  <c r="F38" i="12"/>
  <c r="E39" i="12"/>
  <c r="F39" i="12"/>
  <c r="E40" i="12"/>
  <c r="F40" i="12"/>
  <c r="E41" i="12"/>
  <c r="F41" i="12"/>
  <c r="E42" i="12"/>
  <c r="F42" i="12"/>
  <c r="E43" i="12"/>
  <c r="F43" i="12"/>
  <c r="E45" i="12"/>
  <c r="F45" i="12"/>
  <c r="E46" i="12"/>
  <c r="F46" i="12"/>
  <c r="E47" i="12"/>
  <c r="F47" i="12"/>
  <c r="E48" i="12"/>
  <c r="F48" i="12"/>
  <c r="E49" i="12"/>
  <c r="F49" i="12"/>
  <c r="E50" i="12"/>
  <c r="F50" i="12"/>
  <c r="E51" i="12"/>
  <c r="F51" i="12"/>
  <c r="E22" i="12"/>
  <c r="E6" i="12"/>
  <c r="H6" i="12"/>
  <c r="E7" i="12"/>
  <c r="H7" i="12"/>
  <c r="E8" i="12"/>
  <c r="H8" i="12"/>
  <c r="E9" i="12"/>
  <c r="H9" i="12"/>
  <c r="E10" i="12"/>
  <c r="H10" i="12"/>
  <c r="E11" i="12"/>
  <c r="H11" i="12"/>
  <c r="E12" i="12"/>
  <c r="H12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J101" i="12"/>
  <c r="J21" i="12"/>
  <c r="B24" i="12"/>
  <c r="J22" i="12"/>
  <c r="J110" i="12"/>
  <c r="J108" i="12"/>
  <c r="M108" i="12"/>
  <c r="J109" i="12"/>
  <c r="M109" i="12"/>
  <c r="M113" i="12"/>
  <c r="B110" i="12"/>
  <c r="K110" i="12"/>
  <c r="L110" i="12"/>
  <c r="L108" i="12"/>
  <c r="L109" i="12"/>
  <c r="L113" i="12"/>
  <c r="J112" i="12"/>
  <c r="M112" i="12"/>
  <c r="L112" i="12"/>
  <c r="B112" i="12"/>
  <c r="K112" i="12"/>
  <c r="J106" i="12"/>
  <c r="J107" i="12"/>
  <c r="J111" i="12"/>
  <c r="M111" i="12"/>
  <c r="L111" i="12"/>
  <c r="B111" i="12"/>
  <c r="K111" i="12"/>
  <c r="M110" i="12"/>
  <c r="K109" i="12"/>
  <c r="K108" i="12"/>
  <c r="M107" i="12"/>
  <c r="M106" i="12"/>
  <c r="K106" i="12"/>
  <c r="J113" i="12"/>
  <c r="I112" i="12"/>
  <c r="I109" i="12"/>
  <c r="I108" i="12"/>
  <c r="I107" i="12"/>
  <c r="B52" i="12"/>
  <c r="B63" i="12"/>
  <c r="B61" i="12"/>
  <c r="B62" i="12"/>
  <c r="B52" i="1"/>
  <c r="B63" i="1"/>
  <c r="B61" i="1"/>
  <c r="B62" i="1"/>
  <c r="B112" i="1"/>
  <c r="B110" i="1"/>
  <c r="B111" i="1"/>
  <c r="K110" i="1"/>
  <c r="L110" i="1"/>
  <c r="AG59" i="1"/>
  <c r="AG60" i="1"/>
  <c r="AE59" i="1"/>
  <c r="AE60" i="1"/>
  <c r="AC59" i="1"/>
  <c r="AC60" i="1"/>
  <c r="AA59" i="1"/>
  <c r="AA60" i="1"/>
  <c r="K59" i="7"/>
  <c r="L59" i="7"/>
  <c r="J59" i="7"/>
  <c r="M59" i="7"/>
  <c r="K60" i="7"/>
  <c r="L60" i="7"/>
  <c r="J60" i="7"/>
  <c r="M60" i="7"/>
  <c r="I59" i="7"/>
  <c r="I60" i="7"/>
  <c r="F95" i="9"/>
  <c r="H95" i="9"/>
  <c r="I95" i="9"/>
  <c r="F96" i="9"/>
  <c r="A95" i="9"/>
  <c r="A96" i="9"/>
  <c r="A91" i="9"/>
  <c r="A92" i="9"/>
  <c r="K59" i="12"/>
  <c r="L59" i="12"/>
  <c r="J59" i="12"/>
  <c r="M59" i="12"/>
  <c r="K60" i="12"/>
  <c r="L60" i="12"/>
  <c r="J60" i="12"/>
  <c r="M60" i="12"/>
  <c r="I59" i="12"/>
  <c r="I60" i="12"/>
  <c r="K59" i="1"/>
  <c r="K60" i="1"/>
  <c r="I57" i="1"/>
  <c r="K109" i="1"/>
  <c r="I58" i="1"/>
  <c r="B24" i="1"/>
  <c r="B66" i="8"/>
  <c r="B66" i="7"/>
  <c r="B66" i="12"/>
  <c r="B66" i="1"/>
  <c r="A44" i="1"/>
  <c r="A45" i="1"/>
  <c r="A46" i="1"/>
  <c r="A47" i="1"/>
  <c r="A48" i="1"/>
  <c r="A49" i="1"/>
  <c r="A50" i="1"/>
  <c r="A51" i="1"/>
  <c r="A36" i="1"/>
  <c r="A37" i="1"/>
  <c r="A38" i="1"/>
  <c r="A39" i="1"/>
  <c r="A40" i="1"/>
  <c r="A41" i="1"/>
  <c r="A42" i="1"/>
  <c r="A43" i="1"/>
  <c r="A31" i="1"/>
  <c r="A32" i="1"/>
  <c r="A33" i="1"/>
  <c r="A34" i="1"/>
  <c r="A35" i="1"/>
  <c r="A30" i="1"/>
  <c r="A29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B23" i="8"/>
  <c r="E36" i="1"/>
  <c r="J23" i="8"/>
  <c r="B74" i="8"/>
  <c r="E2" i="13"/>
  <c r="D2" i="13"/>
  <c r="C2" i="13"/>
  <c r="B2" i="13"/>
  <c r="B74" i="7"/>
  <c r="B74" i="1"/>
  <c r="B74" i="12"/>
  <c r="J23" i="7"/>
  <c r="B23" i="7"/>
  <c r="B23" i="12"/>
  <c r="B23" i="1"/>
  <c r="A1" i="1"/>
  <c r="B22" i="13"/>
  <c r="C22" i="13"/>
  <c r="D22" i="13"/>
  <c r="E22" i="13"/>
  <c r="E23" i="13"/>
  <c r="F107" i="13"/>
  <c r="F119" i="13"/>
  <c r="C16" i="13"/>
  <c r="B16" i="13"/>
  <c r="AE16" i="13"/>
  <c r="D23" i="13"/>
  <c r="E24" i="13"/>
  <c r="C23" i="13"/>
  <c r="D24" i="13"/>
  <c r="B23" i="13"/>
  <c r="C24" i="13"/>
  <c r="B24" i="13"/>
  <c r="R19" i="13"/>
  <c r="S19" i="13"/>
  <c r="B107" i="13"/>
  <c r="B109" i="13"/>
  <c r="F117" i="13"/>
  <c r="D81" i="9"/>
  <c r="D33" i="13"/>
  <c r="C81" i="9"/>
  <c r="C33" i="13"/>
  <c r="F116" i="13"/>
  <c r="BU50" i="13"/>
  <c r="D116" i="13"/>
  <c r="E73" i="9"/>
  <c r="E26" i="13"/>
  <c r="D73" i="9"/>
  <c r="D26" i="13"/>
  <c r="F109" i="13"/>
  <c r="CR43" i="13"/>
  <c r="E109" i="13"/>
  <c r="E74" i="9"/>
  <c r="E27" i="13"/>
  <c r="D74" i="9"/>
  <c r="D27" i="13"/>
  <c r="F110" i="13"/>
  <c r="CR44" i="13"/>
  <c r="E110" i="13"/>
  <c r="E75" i="9"/>
  <c r="E28" i="13"/>
  <c r="D75" i="9"/>
  <c r="D28" i="13"/>
  <c r="CR45" i="13"/>
  <c r="E111" i="13"/>
  <c r="E76" i="9"/>
  <c r="E29" i="13"/>
  <c r="D76" i="9"/>
  <c r="D29" i="13"/>
  <c r="CR46" i="13"/>
  <c r="E112" i="13"/>
  <c r="E77" i="9"/>
  <c r="E30" i="13"/>
  <c r="D77" i="9"/>
  <c r="D30" i="13"/>
  <c r="F113" i="13"/>
  <c r="CR47" i="13"/>
  <c r="E113" i="13"/>
  <c r="E78" i="9"/>
  <c r="E31" i="13"/>
  <c r="D78" i="9"/>
  <c r="D31" i="13"/>
  <c r="CR48" i="13"/>
  <c r="E114" i="13"/>
  <c r="E79" i="9"/>
  <c r="E32" i="13"/>
  <c r="D79" i="9"/>
  <c r="D32" i="13"/>
  <c r="F115" i="13"/>
  <c r="CR49" i="13"/>
  <c r="E115" i="13"/>
  <c r="E81" i="9"/>
  <c r="E33" i="13"/>
  <c r="CR50" i="13"/>
  <c r="E116" i="13"/>
  <c r="E82" i="9"/>
  <c r="E34" i="13"/>
  <c r="D82" i="9"/>
  <c r="D34" i="13"/>
  <c r="CR51" i="13"/>
  <c r="E117" i="13"/>
  <c r="E83" i="9"/>
  <c r="E35" i="13"/>
  <c r="D83" i="9"/>
  <c r="D35" i="13"/>
  <c r="F118" i="13"/>
  <c r="CR52" i="13"/>
  <c r="E118" i="13"/>
  <c r="E85" i="9"/>
  <c r="E36" i="13"/>
  <c r="D85" i="9"/>
  <c r="D36" i="13"/>
  <c r="CR53" i="13"/>
  <c r="E119" i="13"/>
  <c r="E86" i="9"/>
  <c r="E37" i="13"/>
  <c r="D86" i="9"/>
  <c r="D37" i="13"/>
  <c r="F120" i="13"/>
  <c r="CR54" i="13"/>
  <c r="E120" i="13"/>
  <c r="E72" i="9"/>
  <c r="E25" i="13"/>
  <c r="D72" i="9"/>
  <c r="D25" i="13"/>
  <c r="F108" i="13"/>
  <c r="CR42" i="13"/>
  <c r="E108" i="13"/>
  <c r="C73" i="9"/>
  <c r="C26" i="13"/>
  <c r="BU43" i="13"/>
  <c r="D109" i="13"/>
  <c r="C74" i="9"/>
  <c r="C27" i="13"/>
  <c r="BU44" i="13"/>
  <c r="D110" i="13"/>
  <c r="C75" i="9"/>
  <c r="C28" i="13"/>
  <c r="BU45" i="13"/>
  <c r="D111" i="13"/>
  <c r="C76" i="9"/>
  <c r="C29" i="13"/>
  <c r="BU46" i="13"/>
  <c r="D112" i="13"/>
  <c r="C77" i="9"/>
  <c r="C30" i="13"/>
  <c r="BU47" i="13"/>
  <c r="D113" i="13"/>
  <c r="C78" i="9"/>
  <c r="C31" i="13"/>
  <c r="BU48" i="13"/>
  <c r="D114" i="13"/>
  <c r="C79" i="9"/>
  <c r="C32" i="13"/>
  <c r="BU49" i="13"/>
  <c r="D115" i="13"/>
  <c r="C82" i="9"/>
  <c r="C34" i="13"/>
  <c r="BU51" i="13"/>
  <c r="D117" i="13"/>
  <c r="C83" i="9"/>
  <c r="C35" i="13"/>
  <c r="BU52" i="13"/>
  <c r="D118" i="13"/>
  <c r="C85" i="9"/>
  <c r="C36" i="13"/>
  <c r="BU53" i="13"/>
  <c r="D119" i="13"/>
  <c r="C86" i="9"/>
  <c r="C37" i="13"/>
  <c r="BU54" i="13"/>
  <c r="D120" i="13"/>
  <c r="C72" i="9"/>
  <c r="C25" i="13"/>
  <c r="BU42" i="13"/>
  <c r="D108" i="13"/>
  <c r="B74" i="9"/>
  <c r="B27" i="13"/>
  <c r="AD44" i="13"/>
  <c r="C110" i="13"/>
  <c r="B75" i="9"/>
  <c r="B28" i="13"/>
  <c r="AD45" i="13"/>
  <c r="C111" i="13"/>
  <c r="B76" i="9"/>
  <c r="B29" i="13"/>
  <c r="AD46" i="13"/>
  <c r="C112" i="13"/>
  <c r="B77" i="9"/>
  <c r="B30" i="13"/>
  <c r="AD47" i="13"/>
  <c r="C113" i="13"/>
  <c r="B78" i="9"/>
  <c r="B31" i="13"/>
  <c r="AD48" i="13"/>
  <c r="C114" i="13"/>
  <c r="B79" i="9"/>
  <c r="B32" i="13"/>
  <c r="AD49" i="13"/>
  <c r="C115" i="13"/>
  <c r="B81" i="9"/>
  <c r="B33" i="13"/>
  <c r="AD50" i="13"/>
  <c r="C116" i="13"/>
  <c r="B82" i="9"/>
  <c r="B34" i="13"/>
  <c r="AD51" i="13"/>
  <c r="C117" i="13"/>
  <c r="B83" i="9"/>
  <c r="B35" i="13"/>
  <c r="B118" i="13"/>
  <c r="AD52" i="13"/>
  <c r="C118" i="13"/>
  <c r="B85" i="9"/>
  <c r="B36" i="13"/>
  <c r="AD53" i="13"/>
  <c r="C119" i="13"/>
  <c r="B86" i="9"/>
  <c r="B37" i="13"/>
  <c r="AD54" i="13"/>
  <c r="C120" i="13"/>
  <c r="B73" i="9"/>
  <c r="B26" i="13"/>
  <c r="AD43" i="13"/>
  <c r="C109" i="13"/>
  <c r="B72" i="9"/>
  <c r="B25" i="13"/>
  <c r="AD42" i="13"/>
  <c r="C108" i="13"/>
  <c r="BI48" i="13"/>
  <c r="DA43" i="13"/>
  <c r="DA60" i="13"/>
  <c r="S25" i="13"/>
  <c r="F25" i="13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7" i="8"/>
  <c r="C24" i="7"/>
  <c r="D31" i="1"/>
  <c r="H31" i="1"/>
  <c r="I31" i="1"/>
  <c r="D32" i="1"/>
  <c r="H32" i="1"/>
  <c r="I32" i="1"/>
  <c r="D36" i="1"/>
  <c r="H36" i="1"/>
  <c r="I36" i="1"/>
  <c r="D37" i="1"/>
  <c r="H37" i="1"/>
  <c r="I37" i="1"/>
  <c r="D38" i="1"/>
  <c r="H38" i="1"/>
  <c r="I38" i="1"/>
  <c r="D39" i="1"/>
  <c r="H39" i="1"/>
  <c r="I39" i="1"/>
  <c r="D41" i="1"/>
  <c r="H41" i="1"/>
  <c r="I41" i="1"/>
  <c r="D50" i="1"/>
  <c r="H50" i="1"/>
  <c r="I50" i="1"/>
  <c r="A7" i="8"/>
  <c r="A9" i="12"/>
  <c r="A11" i="7"/>
  <c r="A13" i="8"/>
  <c r="A15" i="7"/>
  <c r="A17" i="8"/>
  <c r="A21" i="12"/>
  <c r="A20" i="12"/>
  <c r="AE109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12"/>
  <c r="AC7" i="12"/>
  <c r="AC7" i="1"/>
  <c r="X7" i="7"/>
  <c r="AC7" i="7"/>
  <c r="X7" i="8"/>
  <c r="AC7" i="8"/>
  <c r="X11" i="8"/>
  <c r="X33" i="8"/>
  <c r="X9" i="8"/>
  <c r="X32" i="8"/>
  <c r="X8" i="8"/>
  <c r="X31" i="8"/>
  <c r="X11" i="7"/>
  <c r="X33" i="7"/>
  <c r="X9" i="7"/>
  <c r="X32" i="7"/>
  <c r="X8" i="7"/>
  <c r="X31" i="7"/>
  <c r="X11" i="12"/>
  <c r="X33" i="12"/>
  <c r="X9" i="12"/>
  <c r="X32" i="12"/>
  <c r="X8" i="12"/>
  <c r="AG69" i="8"/>
  <c r="AE69" i="8"/>
  <c r="AC69" i="8"/>
  <c r="AA69" i="8"/>
  <c r="AD58" i="8"/>
  <c r="AB58" i="8"/>
  <c r="Z58" i="8"/>
  <c r="AF57" i="1"/>
  <c r="AF57" i="8"/>
  <c r="AD57" i="8"/>
  <c r="AB57" i="8"/>
  <c r="Z57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41" i="8"/>
  <c r="AB41" i="8"/>
  <c r="Z41" i="8"/>
  <c r="AD40" i="8"/>
  <c r="AB40" i="8"/>
  <c r="Z40" i="8"/>
  <c r="AD39" i="8"/>
  <c r="AB39" i="8"/>
  <c r="Z39" i="8"/>
  <c r="AD38" i="8"/>
  <c r="AB38" i="8"/>
  <c r="Z38" i="8"/>
  <c r="AD37" i="8"/>
  <c r="AB37" i="8"/>
  <c r="Z37" i="8"/>
  <c r="AD36" i="8"/>
  <c r="AB36" i="8"/>
  <c r="Z36" i="8"/>
  <c r="AD35" i="8"/>
  <c r="AB35" i="8"/>
  <c r="Z35" i="8"/>
  <c r="AD34" i="8"/>
  <c r="AB34" i="8"/>
  <c r="Z34" i="8"/>
  <c r="AD21" i="8"/>
  <c r="AB21" i="8"/>
  <c r="Z21" i="8"/>
  <c r="AD20" i="8"/>
  <c r="AB20" i="8"/>
  <c r="Z20" i="8"/>
  <c r="AD19" i="8"/>
  <c r="AB19" i="8"/>
  <c r="Z19" i="8"/>
  <c r="AD18" i="8"/>
  <c r="AB18" i="8"/>
  <c r="Z18" i="8"/>
  <c r="AD17" i="8"/>
  <c r="AB17" i="8"/>
  <c r="Z17" i="8"/>
  <c r="AD16" i="8"/>
  <c r="AB16" i="8"/>
  <c r="Z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E7" i="8"/>
  <c r="AD6" i="8"/>
  <c r="AB6" i="8"/>
  <c r="Z6" i="8"/>
  <c r="AF1" i="8"/>
  <c r="AD1" i="8"/>
  <c r="AK1" i="8"/>
  <c r="AB1" i="8"/>
  <c r="Z1" i="8"/>
  <c r="AJ1" i="8"/>
  <c r="AG69" i="7"/>
  <c r="AE69" i="7"/>
  <c r="AC69" i="7"/>
  <c r="AA69" i="7"/>
  <c r="AH69" i="7"/>
  <c r="AD58" i="7"/>
  <c r="AB58" i="7"/>
  <c r="Z58" i="7"/>
  <c r="AF57" i="7"/>
  <c r="AD57" i="7"/>
  <c r="AB57" i="7"/>
  <c r="Z57" i="7"/>
  <c r="AD51" i="7"/>
  <c r="AB51" i="7"/>
  <c r="Z51" i="7"/>
  <c r="AD50" i="7"/>
  <c r="AB50" i="7"/>
  <c r="Z50" i="7"/>
  <c r="AD49" i="7"/>
  <c r="AB49" i="7"/>
  <c r="Z49" i="7"/>
  <c r="AD48" i="7"/>
  <c r="AB48" i="7"/>
  <c r="Z48" i="7"/>
  <c r="AD47" i="7"/>
  <c r="AB47" i="7"/>
  <c r="Z47" i="7"/>
  <c r="AD46" i="7"/>
  <c r="AB46" i="7"/>
  <c r="Z46" i="7"/>
  <c r="AD45" i="7"/>
  <c r="AB45" i="7"/>
  <c r="Z45" i="7"/>
  <c r="AD44" i="7"/>
  <c r="AB44" i="7"/>
  <c r="Z44" i="7"/>
  <c r="AD43" i="7"/>
  <c r="AB43" i="7"/>
  <c r="Z43" i="7"/>
  <c r="AD42" i="7"/>
  <c r="AB42" i="7"/>
  <c r="Z42" i="7"/>
  <c r="AD41" i="7"/>
  <c r="AB41" i="7"/>
  <c r="Z41" i="7"/>
  <c r="AD40" i="7"/>
  <c r="AB40" i="7"/>
  <c r="Z40" i="7"/>
  <c r="AD39" i="7"/>
  <c r="AB39" i="7"/>
  <c r="Z39" i="7"/>
  <c r="AD38" i="7"/>
  <c r="AB38" i="7"/>
  <c r="Z38" i="7"/>
  <c r="AD37" i="7"/>
  <c r="AB37" i="7"/>
  <c r="Z37" i="7"/>
  <c r="AD36" i="7"/>
  <c r="AB36" i="7"/>
  <c r="Z36" i="7"/>
  <c r="AD35" i="7"/>
  <c r="AB35" i="7"/>
  <c r="Z35" i="7"/>
  <c r="AD34" i="7"/>
  <c r="AB34" i="7"/>
  <c r="Z34" i="7"/>
  <c r="AD21" i="7"/>
  <c r="AB21" i="7"/>
  <c r="Z21" i="7"/>
  <c r="AD20" i="7"/>
  <c r="AB20" i="7"/>
  <c r="Z20" i="7"/>
  <c r="AD19" i="7"/>
  <c r="AB19" i="7"/>
  <c r="Z19" i="7"/>
  <c r="AD18" i="7"/>
  <c r="AB18" i="7"/>
  <c r="Z18" i="7"/>
  <c r="AD17" i="7"/>
  <c r="AB17" i="7"/>
  <c r="Z17" i="7"/>
  <c r="AD16" i="7"/>
  <c r="AB16" i="7"/>
  <c r="Z16" i="7"/>
  <c r="AD15" i="7"/>
  <c r="AB15" i="7"/>
  <c r="Z15" i="7"/>
  <c r="AD14" i="7"/>
  <c r="AB14" i="7"/>
  <c r="Z14" i="7"/>
  <c r="AD13" i="7"/>
  <c r="AB13" i="7"/>
  <c r="Z13" i="7"/>
  <c r="AD12" i="7"/>
  <c r="AB12" i="7"/>
  <c r="Z12" i="7"/>
  <c r="X10" i="7"/>
  <c r="AE7" i="7"/>
  <c r="AD6" i="7"/>
  <c r="AB6" i="7"/>
  <c r="Z6" i="7"/>
  <c r="AF1" i="7"/>
  <c r="AD1" i="7"/>
  <c r="AB1" i="7"/>
  <c r="Z1" i="7"/>
  <c r="AJ1" i="7"/>
  <c r="AF1" i="12"/>
  <c r="AD1" i="12"/>
  <c r="AB1" i="12"/>
  <c r="Z1" i="12"/>
  <c r="X10" i="12"/>
  <c r="AD21" i="12"/>
  <c r="AD20" i="12"/>
  <c r="AD19" i="12"/>
  <c r="AD18" i="12"/>
  <c r="AD17" i="12"/>
  <c r="AD16" i="12"/>
  <c r="AD15" i="12"/>
  <c r="AD14" i="12"/>
  <c r="AD13" i="12"/>
  <c r="AD12" i="12"/>
  <c r="AB21" i="12"/>
  <c r="AB20" i="12"/>
  <c r="AB19" i="12"/>
  <c r="AB18" i="12"/>
  <c r="AB17" i="12"/>
  <c r="AB16" i="12"/>
  <c r="AB15" i="12"/>
  <c r="AB14" i="12"/>
  <c r="AB13" i="12"/>
  <c r="AB12" i="12"/>
  <c r="Z13" i="12"/>
  <c r="Z14" i="12"/>
  <c r="Z15" i="12"/>
  <c r="Z16" i="12"/>
  <c r="Z17" i="12"/>
  <c r="Z18" i="12"/>
  <c r="Z19" i="12"/>
  <c r="Z20" i="12"/>
  <c r="Z21" i="12"/>
  <c r="Z12" i="12"/>
  <c r="AD6" i="12"/>
  <c r="AB6" i="12"/>
  <c r="Z6" i="12"/>
  <c r="AF6" i="12"/>
  <c r="AH6" i="12"/>
  <c r="AD51" i="12"/>
  <c r="AD50" i="12"/>
  <c r="AD49" i="12"/>
  <c r="AD48" i="12"/>
  <c r="AD47" i="12"/>
  <c r="AD46" i="12"/>
  <c r="AD45" i="12"/>
  <c r="AD44" i="12"/>
  <c r="AD43" i="12"/>
  <c r="AD42" i="12"/>
  <c r="AD41" i="12"/>
  <c r="AD40" i="12"/>
  <c r="AD39" i="12"/>
  <c r="AD38" i="12"/>
  <c r="AD37" i="12"/>
  <c r="AD36" i="12"/>
  <c r="AD35" i="12"/>
  <c r="AD34" i="12"/>
  <c r="AB51" i="12"/>
  <c r="AB50" i="12"/>
  <c r="Z50" i="12"/>
  <c r="AF50" i="12"/>
  <c r="AB49" i="12"/>
  <c r="AB48" i="12"/>
  <c r="Z48" i="12"/>
  <c r="AF48" i="12"/>
  <c r="AB47" i="12"/>
  <c r="AB46" i="12"/>
  <c r="Z46" i="12"/>
  <c r="AF46" i="12"/>
  <c r="AB45" i="12"/>
  <c r="AB44" i="12"/>
  <c r="Z44" i="12"/>
  <c r="AF44" i="12"/>
  <c r="AB43" i="12"/>
  <c r="AB42" i="12"/>
  <c r="Z42" i="12"/>
  <c r="AF42" i="12"/>
  <c r="AB41" i="12"/>
  <c r="AB40" i="12"/>
  <c r="Z40" i="12"/>
  <c r="AF40" i="12"/>
  <c r="AB39" i="12"/>
  <c r="AB38" i="12"/>
  <c r="Z38" i="12"/>
  <c r="AF38" i="12"/>
  <c r="AB37" i="12"/>
  <c r="AB36" i="12"/>
  <c r="Z36" i="12"/>
  <c r="AF36" i="12"/>
  <c r="AB35" i="12"/>
  <c r="AB34" i="12"/>
  <c r="Z34" i="12"/>
  <c r="AF34" i="12"/>
  <c r="Z35" i="12"/>
  <c r="Z37" i="12"/>
  <c r="Z39" i="12"/>
  <c r="Z41" i="12"/>
  <c r="Z43" i="12"/>
  <c r="Z45" i="12"/>
  <c r="Z47" i="12"/>
  <c r="Z49" i="12"/>
  <c r="Z51" i="12"/>
  <c r="AF57" i="12"/>
  <c r="AD58" i="12"/>
  <c r="AD57" i="12"/>
  <c r="AB58" i="12"/>
  <c r="AB57" i="12"/>
  <c r="Z57" i="12"/>
  <c r="Z58" i="12"/>
  <c r="AG69" i="12"/>
  <c r="AE69" i="12"/>
  <c r="AC69" i="12"/>
  <c r="AA69" i="12"/>
  <c r="AH69" i="12"/>
  <c r="AH57" i="12"/>
  <c r="AF51" i="12"/>
  <c r="AH51" i="12"/>
  <c r="AF49" i="12"/>
  <c r="AH49" i="12"/>
  <c r="AF47" i="12"/>
  <c r="AH47" i="12"/>
  <c r="AF45" i="12"/>
  <c r="AH45" i="12"/>
  <c r="AF43" i="12"/>
  <c r="AH43" i="12"/>
  <c r="AF41" i="12"/>
  <c r="AH41" i="12"/>
  <c r="AF39" i="12"/>
  <c r="AH39" i="12"/>
  <c r="AF37" i="12"/>
  <c r="AH37" i="12"/>
  <c r="AF35" i="12"/>
  <c r="AH35" i="12"/>
  <c r="AF21" i="12"/>
  <c r="AH21" i="12"/>
  <c r="AF20" i="12"/>
  <c r="AH20" i="12"/>
  <c r="AF19" i="12"/>
  <c r="AH19" i="12"/>
  <c r="AF18" i="12"/>
  <c r="AH18" i="12"/>
  <c r="AF16" i="12"/>
  <c r="AF15" i="12"/>
  <c r="AF14" i="12"/>
  <c r="AF13" i="12"/>
  <c r="AF12" i="12"/>
  <c r="AE7" i="12"/>
  <c r="AA7" i="12"/>
  <c r="AJ7" i="12"/>
  <c r="AK1" i="12"/>
  <c r="AJ1" i="12"/>
  <c r="AE7" i="1"/>
  <c r="AA7" i="1"/>
  <c r="AJ7" i="1"/>
  <c r="AF58" i="1"/>
  <c r="AF58" i="8"/>
  <c r="AH57" i="1"/>
  <c r="A94" i="9"/>
  <c r="A93" i="9"/>
  <c r="A88" i="9"/>
  <c r="A72" i="13"/>
  <c r="A90" i="9"/>
  <c r="A74" i="13"/>
  <c r="A89" i="9"/>
  <c r="A73" i="13"/>
  <c r="A87" i="9"/>
  <c r="A86" i="9"/>
  <c r="A71" i="13"/>
  <c r="A15" i="13"/>
  <c r="A85" i="9"/>
  <c r="A70" i="13"/>
  <c r="A84" i="9"/>
  <c r="A83" i="9"/>
  <c r="A69" i="13"/>
  <c r="A82" i="9"/>
  <c r="A51" i="13"/>
  <c r="A117" i="13"/>
  <c r="A81" i="9"/>
  <c r="A67" i="13"/>
  <c r="A80" i="9"/>
  <c r="A79" i="9"/>
  <c r="A49" i="13"/>
  <c r="A115" i="13"/>
  <c r="A78" i="9"/>
  <c r="A65" i="13"/>
  <c r="A77" i="9"/>
  <c r="A47" i="13"/>
  <c r="A113" i="13"/>
  <c r="A76" i="9"/>
  <c r="A63" i="13"/>
  <c r="A75" i="9"/>
  <c r="A45" i="13"/>
  <c r="A111" i="13"/>
  <c r="A74" i="9"/>
  <c r="A5" i="13"/>
  <c r="A73" i="9"/>
  <c r="A60" i="13"/>
  <c r="A72" i="9"/>
  <c r="A59" i="13"/>
  <c r="AF13" i="1"/>
  <c r="AF12" i="1"/>
  <c r="AF51" i="1"/>
  <c r="AH51" i="1"/>
  <c r="AF50" i="1"/>
  <c r="AH50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41" i="1"/>
  <c r="AH41" i="1"/>
  <c r="AF40" i="1"/>
  <c r="AH40" i="1"/>
  <c r="AF39" i="1"/>
  <c r="AH39" i="1"/>
  <c r="AF38" i="1"/>
  <c r="AH38" i="1"/>
  <c r="AF37" i="1"/>
  <c r="AH37" i="1"/>
  <c r="AF36" i="1"/>
  <c r="AH36" i="1"/>
  <c r="AF35" i="1"/>
  <c r="AH35" i="1"/>
  <c r="AF34" i="1"/>
  <c r="AH34" i="1"/>
  <c r="AF21" i="1"/>
  <c r="AH21" i="1"/>
  <c r="AF20" i="1"/>
  <c r="AH20" i="1"/>
  <c r="AF19" i="1"/>
  <c r="AH19" i="1"/>
  <c r="AF18" i="1"/>
  <c r="AH18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H22" i="7"/>
  <c r="K23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A75" i="7"/>
  <c r="M76" i="7"/>
  <c r="M77" i="7"/>
  <c r="A103" i="7"/>
  <c r="M104" i="7"/>
  <c r="M105" i="7"/>
  <c r="M4" i="1"/>
  <c r="M5" i="1"/>
  <c r="H22" i="1"/>
  <c r="K23" i="1"/>
  <c r="H30" i="1"/>
  <c r="H33" i="1"/>
  <c r="H34" i="1"/>
  <c r="H35" i="1"/>
  <c r="H40" i="1"/>
  <c r="H42" i="1"/>
  <c r="H43" i="1"/>
  <c r="H44" i="1"/>
  <c r="H45" i="1"/>
  <c r="H46" i="1"/>
  <c r="H47" i="1"/>
  <c r="H48" i="1"/>
  <c r="H49" i="1"/>
  <c r="H51" i="1"/>
  <c r="A75" i="1"/>
  <c r="M76" i="1"/>
  <c r="M77" i="1"/>
  <c r="A103" i="1"/>
  <c r="M104" i="1"/>
  <c r="M105" i="1"/>
  <c r="M4" i="8"/>
  <c r="M5" i="8"/>
  <c r="H22" i="8"/>
  <c r="K23" i="8"/>
  <c r="H30" i="8"/>
  <c r="H31" i="8"/>
  <c r="H32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A75" i="8"/>
  <c r="M76" i="8"/>
  <c r="M77" i="8"/>
  <c r="A103" i="8"/>
  <c r="M104" i="8"/>
  <c r="M105" i="8"/>
  <c r="M4" i="12"/>
  <c r="M5" i="12"/>
  <c r="H22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A75" i="12"/>
  <c r="M76" i="12"/>
  <c r="M77" i="12"/>
  <c r="A103" i="12"/>
  <c r="M104" i="12"/>
  <c r="M105" i="12"/>
  <c r="H29" i="1"/>
  <c r="AH13" i="1"/>
  <c r="AH12" i="1"/>
  <c r="AF12" i="8"/>
  <c r="AH12" i="8"/>
  <c r="AA7" i="8"/>
  <c r="AJ7" i="8"/>
  <c r="AH57" i="8"/>
  <c r="AF13" i="8"/>
  <c r="AF14" i="8"/>
  <c r="AF15" i="8"/>
  <c r="AF16" i="8"/>
  <c r="AF17" i="8"/>
  <c r="AF18" i="8"/>
  <c r="AF19" i="8"/>
  <c r="AF20" i="8"/>
  <c r="AF21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6" i="7"/>
  <c r="AA7" i="7"/>
  <c r="AJ7" i="7"/>
  <c r="AH57" i="7"/>
  <c r="AF12" i="7"/>
  <c r="AF13" i="7"/>
  <c r="AF14" i="7"/>
  <c r="AF15" i="7"/>
  <c r="AF16" i="7"/>
  <c r="AF17" i="7"/>
  <c r="AF18" i="7"/>
  <c r="AF19" i="7"/>
  <c r="AF20" i="7"/>
  <c r="AF21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69" i="12"/>
  <c r="Z69" i="12"/>
  <c r="AD69" i="12"/>
  <c r="A3" i="13"/>
  <c r="A40" i="13"/>
  <c r="A38" i="13"/>
  <c r="A27" i="13"/>
  <c r="A57" i="13"/>
  <c r="A55" i="13"/>
  <c r="A54" i="13"/>
  <c r="A120" i="13"/>
  <c r="A44" i="13"/>
  <c r="A43" i="13"/>
  <c r="A109" i="13"/>
  <c r="A61" i="13"/>
  <c r="A4" i="13"/>
  <c r="A25" i="13"/>
  <c r="A39" i="13"/>
  <c r="A37" i="13"/>
  <c r="A26" i="13"/>
  <c r="A56" i="13"/>
  <c r="AH12" i="12"/>
  <c r="AH13" i="12"/>
  <c r="AH14" i="12"/>
  <c r="AH15" i="12"/>
  <c r="AH16" i="12"/>
  <c r="AH34" i="12"/>
  <c r="AH36" i="12"/>
  <c r="AH38" i="12"/>
  <c r="AH40" i="12"/>
  <c r="AH42" i="12"/>
  <c r="AH44" i="12"/>
  <c r="AH46" i="12"/>
  <c r="AH48" i="12"/>
  <c r="AH50" i="12"/>
  <c r="AF17" i="12"/>
  <c r="AB69" i="12"/>
  <c r="AF69" i="1"/>
  <c r="AD69" i="1"/>
  <c r="AB69" i="1"/>
  <c r="Z69" i="1"/>
  <c r="AH50" i="8"/>
  <c r="AH48" i="8"/>
  <c r="AH46" i="8"/>
  <c r="AH44" i="8"/>
  <c r="AH42" i="8"/>
  <c r="AH40" i="8"/>
  <c r="AH38" i="8"/>
  <c r="AH36" i="8"/>
  <c r="AH34" i="8"/>
  <c r="AH21" i="8"/>
  <c r="AH19" i="8"/>
  <c r="AH17" i="8"/>
  <c r="AH15" i="8"/>
  <c r="AH13" i="8"/>
  <c r="AH51" i="8"/>
  <c r="AH49" i="8"/>
  <c r="AH47" i="8"/>
  <c r="AH45" i="8"/>
  <c r="AH43" i="8"/>
  <c r="AH41" i="8"/>
  <c r="AH39" i="8"/>
  <c r="AH37" i="8"/>
  <c r="AH35" i="8"/>
  <c r="AH20" i="8"/>
  <c r="AH18" i="8"/>
  <c r="AH16" i="8"/>
  <c r="AH14" i="8"/>
  <c r="AH50" i="7"/>
  <c r="AH48" i="7"/>
  <c r="AH46" i="7"/>
  <c r="AH44" i="7"/>
  <c r="AH42" i="7"/>
  <c r="AH40" i="7"/>
  <c r="AH38" i="7"/>
  <c r="AH36" i="7"/>
  <c r="AH34" i="7"/>
  <c r="AH20" i="7"/>
  <c r="AH18" i="7"/>
  <c r="AH16" i="7"/>
  <c r="AH14" i="7"/>
  <c r="AH12" i="7"/>
  <c r="AH21" i="7"/>
  <c r="AH19" i="7"/>
  <c r="AH17" i="7"/>
  <c r="AH15" i="7"/>
  <c r="AH13" i="7"/>
  <c r="AH51" i="7"/>
  <c r="AH49" i="7"/>
  <c r="AH47" i="7"/>
  <c r="AH45" i="7"/>
  <c r="AH43" i="7"/>
  <c r="AH41" i="7"/>
  <c r="AH39" i="7"/>
  <c r="AH37" i="7"/>
  <c r="AH35" i="7"/>
  <c r="AH17" i="12"/>
  <c r="AK1" i="7"/>
  <c r="AF69" i="7"/>
  <c r="AB69" i="7"/>
  <c r="AD69" i="7"/>
  <c r="Z69" i="7"/>
  <c r="H29" i="7"/>
  <c r="H29" i="8"/>
  <c r="AH58" i="8"/>
  <c r="AF58" i="7"/>
  <c r="AH58" i="1"/>
  <c r="AF58" i="12"/>
  <c r="AH6" i="7"/>
  <c r="AF6" i="8"/>
  <c r="AH6" i="8"/>
  <c r="AH58" i="12"/>
  <c r="AH58" i="7"/>
  <c r="A21" i="8"/>
  <c r="A21" i="7"/>
  <c r="K2" i="9"/>
  <c r="A1" i="7"/>
  <c r="K2" i="11"/>
  <c r="AH69" i="8"/>
  <c r="AD69" i="8"/>
  <c r="H33" i="8"/>
  <c r="A1" i="12"/>
  <c r="A1" i="8"/>
  <c r="K2" i="10"/>
  <c r="A110" i="13"/>
  <c r="AB69" i="8"/>
  <c r="Z69" i="8"/>
  <c r="AF69" i="8"/>
  <c r="A20" i="7"/>
  <c r="A36" i="13"/>
  <c r="A53" i="13"/>
  <c r="A119" i="13"/>
  <c r="A6" i="13"/>
  <c r="A8" i="13"/>
  <c r="A10" i="13"/>
  <c r="A12" i="13"/>
  <c r="A28" i="13"/>
  <c r="A30" i="13"/>
  <c r="A32" i="13"/>
  <c r="A34" i="13"/>
  <c r="A62" i="13"/>
  <c r="A64" i="13"/>
  <c r="A66" i="13"/>
  <c r="A68" i="13"/>
  <c r="A42" i="13"/>
  <c r="A108" i="13"/>
  <c r="A46" i="13"/>
  <c r="A112" i="13"/>
  <c r="A48" i="13"/>
  <c r="A114" i="13"/>
  <c r="A50" i="13"/>
  <c r="A116" i="13"/>
  <c r="A52" i="13"/>
  <c r="A118" i="13"/>
  <c r="A14" i="13"/>
  <c r="A7" i="13"/>
  <c r="A9" i="13"/>
  <c r="A11" i="13"/>
  <c r="A13" i="13"/>
  <c r="A29" i="13"/>
  <c r="A31" i="13"/>
  <c r="A33" i="13"/>
  <c r="A35" i="13"/>
  <c r="A20" i="8"/>
  <c r="C107" i="13"/>
  <c r="A6" i="7"/>
  <c r="A7" i="12"/>
  <c r="A6" i="12"/>
  <c r="A8" i="7"/>
  <c r="A8" i="8"/>
  <c r="A8" i="12"/>
  <c r="A9" i="8"/>
  <c r="A10" i="12"/>
  <c r="A10" i="7"/>
  <c r="A11" i="8"/>
  <c r="A11" i="12"/>
  <c r="A12" i="8"/>
  <c r="A12" i="7"/>
  <c r="A12" i="12"/>
  <c r="A14" i="8"/>
  <c r="A13" i="12"/>
  <c r="A13" i="7"/>
  <c r="A14" i="12"/>
  <c r="A14" i="7"/>
  <c r="A15" i="8"/>
  <c r="A15" i="12"/>
  <c r="A16" i="7"/>
  <c r="A16" i="12"/>
  <c r="A16" i="8"/>
  <c r="A17" i="12"/>
  <c r="A17" i="7"/>
  <c r="A18" i="7"/>
  <c r="A18" i="8"/>
  <c r="A18" i="12"/>
  <c r="A19" i="7"/>
  <c r="C24" i="8"/>
  <c r="C24" i="1"/>
  <c r="A19" i="8"/>
  <c r="D29" i="12"/>
  <c r="I29" i="12"/>
  <c r="D29" i="7"/>
  <c r="I29" i="7"/>
  <c r="D29" i="1"/>
  <c r="I29" i="1"/>
  <c r="D29" i="8"/>
  <c r="I29" i="8"/>
  <c r="AA58" i="8"/>
  <c r="AA58" i="1"/>
  <c r="AC58" i="1"/>
  <c r="AE58" i="1"/>
  <c r="AG58" i="1"/>
  <c r="AK58" i="1"/>
  <c r="AG58" i="7"/>
  <c r="AI58" i="1"/>
  <c r="AG58" i="8"/>
  <c r="AC58" i="8"/>
  <c r="AE58" i="7"/>
  <c r="AK58" i="7"/>
  <c r="AC58" i="7"/>
  <c r="AA58" i="7"/>
  <c r="AJ58" i="7"/>
  <c r="O106" i="12"/>
  <c r="A30" i="12"/>
  <c r="A79" i="12"/>
  <c r="A30" i="8"/>
  <c r="A79" i="8"/>
  <c r="A29" i="12"/>
  <c r="A78" i="12"/>
  <c r="A29" i="8"/>
  <c r="A78" i="8"/>
  <c r="A29" i="7"/>
  <c r="A78" i="7"/>
  <c r="A78" i="1"/>
  <c r="A31" i="8"/>
  <c r="A80" i="8"/>
  <c r="D30" i="7"/>
  <c r="A31" i="12"/>
  <c r="A80" i="12"/>
  <c r="D30" i="8"/>
  <c r="I30" i="8"/>
  <c r="D30" i="12"/>
  <c r="I30" i="12"/>
  <c r="D31" i="8"/>
  <c r="I31" i="8"/>
  <c r="D32" i="7"/>
  <c r="I32" i="7"/>
  <c r="D32" i="8"/>
  <c r="I32" i="8"/>
  <c r="A32" i="12"/>
  <c r="A81" i="12"/>
  <c r="A32" i="8"/>
  <c r="A81" i="8"/>
  <c r="A32" i="7"/>
  <c r="A81" i="7"/>
  <c r="A81" i="1"/>
  <c r="D32" i="12"/>
  <c r="I32" i="12"/>
  <c r="A33" i="7"/>
  <c r="A82" i="7"/>
  <c r="A33" i="8"/>
  <c r="A82" i="8"/>
  <c r="A82" i="1"/>
  <c r="A33" i="12"/>
  <c r="A82" i="12"/>
  <c r="D31" i="12"/>
  <c r="I31" i="12"/>
  <c r="I30" i="7"/>
  <c r="A34" i="12"/>
  <c r="A83" i="12"/>
  <c r="D33" i="8"/>
  <c r="I33" i="8"/>
  <c r="D33" i="12"/>
  <c r="I33" i="12"/>
  <c r="D33" i="7"/>
  <c r="A34" i="8"/>
  <c r="A83" i="8"/>
  <c r="A34" i="7"/>
  <c r="A83" i="7"/>
  <c r="A83" i="1"/>
  <c r="D33" i="1"/>
  <c r="I33" i="1"/>
  <c r="D34" i="7"/>
  <c r="I34" i="7"/>
  <c r="I33" i="7"/>
  <c r="A35" i="8"/>
  <c r="A84" i="8"/>
  <c r="A35" i="12"/>
  <c r="A84" i="12"/>
  <c r="A35" i="7"/>
  <c r="A84" i="7"/>
  <c r="A84" i="1"/>
  <c r="D34" i="12"/>
  <c r="I34" i="12"/>
  <c r="D34" i="1"/>
  <c r="I34" i="1"/>
  <c r="D35" i="1"/>
  <c r="I35" i="1"/>
  <c r="A36" i="7"/>
  <c r="A85" i="7"/>
  <c r="A36" i="12"/>
  <c r="A85" i="12"/>
  <c r="A36" i="8"/>
  <c r="A85" i="8"/>
  <c r="A85" i="1"/>
  <c r="D35" i="7"/>
  <c r="I35" i="7"/>
  <c r="A86" i="1"/>
  <c r="A37" i="7"/>
  <c r="A86" i="7"/>
  <c r="A37" i="8"/>
  <c r="A86" i="8"/>
  <c r="A37" i="12"/>
  <c r="A86" i="12"/>
  <c r="D36" i="8"/>
  <c r="I36" i="8"/>
  <c r="A38" i="12"/>
  <c r="A87" i="12"/>
  <c r="D37" i="8"/>
  <c r="I37" i="8"/>
  <c r="D37" i="7"/>
  <c r="I37" i="7"/>
  <c r="D37" i="12"/>
  <c r="I37" i="12"/>
  <c r="A38" i="8"/>
  <c r="A87" i="8"/>
  <c r="A87" i="1"/>
  <c r="A39" i="8"/>
  <c r="A88" i="8"/>
  <c r="D38" i="12"/>
  <c r="I38" i="12"/>
  <c r="D38" i="8"/>
  <c r="I38" i="8"/>
  <c r="A40" i="7"/>
  <c r="A89" i="7"/>
  <c r="D39" i="7"/>
  <c r="I39" i="7"/>
  <c r="D39" i="12"/>
  <c r="I39" i="12"/>
  <c r="D40" i="12"/>
  <c r="I40" i="12"/>
  <c r="D40" i="7"/>
  <c r="I40" i="7"/>
  <c r="D40" i="8"/>
  <c r="I40" i="8"/>
  <c r="A41" i="7"/>
  <c r="A90" i="7"/>
  <c r="A41" i="8"/>
  <c r="A90" i="8"/>
  <c r="A41" i="12"/>
  <c r="A90" i="12"/>
  <c r="A90" i="1"/>
  <c r="D40" i="1"/>
  <c r="I40" i="1"/>
  <c r="D41" i="8"/>
  <c r="I41" i="8"/>
  <c r="A42" i="12"/>
  <c r="A91" i="12"/>
  <c r="A42" i="8"/>
  <c r="A91" i="8"/>
  <c r="A42" i="7"/>
  <c r="A91" i="7"/>
  <c r="A91" i="1"/>
  <c r="D41" i="12"/>
  <c r="I41" i="12"/>
  <c r="D42" i="8"/>
  <c r="I42" i="8"/>
  <c r="D42" i="12"/>
  <c r="I42" i="12"/>
  <c r="D42" i="7"/>
  <c r="I42" i="7"/>
  <c r="D42" i="1"/>
  <c r="I42" i="1"/>
  <c r="A43" i="8"/>
  <c r="A92" i="8"/>
  <c r="A43" i="12"/>
  <c r="A92" i="12"/>
  <c r="A43" i="7"/>
  <c r="A92" i="7"/>
  <c r="A92" i="1"/>
  <c r="A44" i="7"/>
  <c r="A93" i="7"/>
  <c r="A44" i="12"/>
  <c r="A93" i="12"/>
  <c r="A44" i="8"/>
  <c r="A93" i="8"/>
  <c r="A93" i="1"/>
  <c r="D43" i="12"/>
  <c r="I43" i="12"/>
  <c r="D43" i="1"/>
  <c r="I43" i="1"/>
  <c r="D43" i="7"/>
  <c r="I43" i="7"/>
  <c r="D43" i="8"/>
  <c r="I43" i="8"/>
  <c r="D44" i="12"/>
  <c r="I44" i="12"/>
  <c r="A45" i="8"/>
  <c r="A94" i="8"/>
  <c r="A45" i="12"/>
  <c r="A94" i="12"/>
  <c r="A94" i="1"/>
  <c r="A45" i="7"/>
  <c r="A94" i="7"/>
  <c r="D44" i="7"/>
  <c r="I44" i="7"/>
  <c r="D45" i="8"/>
  <c r="I45" i="8"/>
  <c r="D45" i="1"/>
  <c r="I45" i="1"/>
  <c r="D45" i="7"/>
  <c r="I45" i="7"/>
  <c r="D46" i="8"/>
  <c r="I46" i="8"/>
  <c r="D46" i="7"/>
  <c r="I46" i="7"/>
  <c r="D46" i="12"/>
  <c r="I46" i="12"/>
  <c r="D46" i="1"/>
  <c r="I46" i="1"/>
  <c r="A48" i="7"/>
  <c r="A97" i="7"/>
  <c r="D47" i="12"/>
  <c r="I47" i="12"/>
  <c r="D47" i="8"/>
  <c r="I47" i="8"/>
  <c r="D47" i="1"/>
  <c r="I47" i="1"/>
  <c r="D47" i="7"/>
  <c r="I47" i="7"/>
  <c r="D48" i="8"/>
  <c r="I48" i="8"/>
  <c r="D48" i="12"/>
  <c r="I48" i="12"/>
  <c r="D48" i="7"/>
  <c r="I48" i="7"/>
  <c r="A49" i="12"/>
  <c r="A98" i="12"/>
  <c r="A49" i="8"/>
  <c r="A98" i="8"/>
  <c r="A98" i="1"/>
  <c r="A49" i="7"/>
  <c r="A98" i="7"/>
  <c r="D49" i="8"/>
  <c r="I49" i="8"/>
  <c r="D49" i="12"/>
  <c r="I49" i="12"/>
  <c r="A50" i="7"/>
  <c r="A99" i="7"/>
  <c r="A50" i="12"/>
  <c r="A99" i="12"/>
  <c r="A50" i="8"/>
  <c r="A99" i="8"/>
  <c r="A99" i="1"/>
  <c r="D49" i="7"/>
  <c r="I49" i="7"/>
  <c r="A51" i="8"/>
  <c r="A100" i="8"/>
  <c r="A51" i="12"/>
  <c r="A100" i="12"/>
  <c r="A100" i="1"/>
  <c r="A51" i="7"/>
  <c r="A100" i="7"/>
  <c r="D50" i="12"/>
  <c r="I50" i="12"/>
  <c r="D50" i="7"/>
  <c r="I50" i="7"/>
  <c r="D50" i="8"/>
  <c r="I50" i="8"/>
  <c r="D51" i="8"/>
  <c r="I51" i="8"/>
  <c r="D51" i="7"/>
  <c r="I51" i="7"/>
  <c r="C52" i="1"/>
  <c r="D51" i="12"/>
  <c r="K51" i="12"/>
  <c r="L51" i="12"/>
  <c r="K29" i="12"/>
  <c r="L29" i="12"/>
  <c r="K30" i="12"/>
  <c r="L30" i="12"/>
  <c r="K31" i="12"/>
  <c r="L31" i="12"/>
  <c r="K32" i="12"/>
  <c r="L32" i="12"/>
  <c r="K33" i="12"/>
  <c r="L33" i="12"/>
  <c r="K34" i="12"/>
  <c r="L34" i="12"/>
  <c r="K35" i="12"/>
  <c r="L35" i="12"/>
  <c r="K36" i="12"/>
  <c r="L36" i="12"/>
  <c r="K37" i="12"/>
  <c r="L37" i="12"/>
  <c r="K38" i="12"/>
  <c r="L38" i="12"/>
  <c r="K39" i="12"/>
  <c r="L39" i="12"/>
  <c r="K40" i="12"/>
  <c r="L40" i="12"/>
  <c r="K41" i="12"/>
  <c r="L41" i="12"/>
  <c r="K42" i="12"/>
  <c r="L42" i="12"/>
  <c r="K43" i="12"/>
  <c r="L43" i="12"/>
  <c r="K44" i="12"/>
  <c r="L44" i="12"/>
  <c r="K45" i="12"/>
  <c r="L45" i="12"/>
  <c r="K46" i="12"/>
  <c r="L46" i="12"/>
  <c r="K47" i="12"/>
  <c r="L47" i="12"/>
  <c r="K48" i="12"/>
  <c r="L48" i="12"/>
  <c r="K49" i="12"/>
  <c r="L49" i="12"/>
  <c r="K50" i="12"/>
  <c r="L50" i="12"/>
  <c r="L52" i="12"/>
  <c r="C52" i="7"/>
  <c r="D51" i="1"/>
  <c r="C52" i="12"/>
  <c r="C52" i="8"/>
  <c r="K29" i="8"/>
  <c r="K33" i="8"/>
  <c r="L33" i="8"/>
  <c r="K37" i="8"/>
  <c r="L37" i="8"/>
  <c r="K40" i="8"/>
  <c r="L40" i="8"/>
  <c r="K42" i="8"/>
  <c r="L42" i="8"/>
  <c r="K44" i="8"/>
  <c r="L44" i="8"/>
  <c r="K46" i="8"/>
  <c r="L46" i="8"/>
  <c r="K48" i="8"/>
  <c r="L48" i="8"/>
  <c r="K50" i="8"/>
  <c r="L50" i="8"/>
  <c r="K29" i="7"/>
  <c r="K31" i="7"/>
  <c r="L31" i="7"/>
  <c r="K33" i="7"/>
  <c r="L33" i="7"/>
  <c r="K34" i="7"/>
  <c r="L34" i="7"/>
  <c r="K35" i="7"/>
  <c r="L35" i="7"/>
  <c r="K36" i="7"/>
  <c r="L36" i="7"/>
  <c r="K37" i="7"/>
  <c r="L37" i="7"/>
  <c r="K38" i="7"/>
  <c r="L38" i="7"/>
  <c r="K39" i="7"/>
  <c r="L39" i="7"/>
  <c r="K40" i="7"/>
  <c r="L40" i="7"/>
  <c r="K41" i="7"/>
  <c r="L41" i="7"/>
  <c r="K42" i="7"/>
  <c r="L42" i="7"/>
  <c r="K43" i="7"/>
  <c r="L43" i="7"/>
  <c r="K44" i="7"/>
  <c r="L44" i="7"/>
  <c r="K45" i="7"/>
  <c r="L45" i="7"/>
  <c r="K46" i="7"/>
  <c r="L46" i="7"/>
  <c r="K47" i="7"/>
  <c r="L47" i="7"/>
  <c r="K48" i="7"/>
  <c r="L48" i="7"/>
  <c r="K49" i="7"/>
  <c r="L49" i="7"/>
  <c r="K50" i="7"/>
  <c r="L50" i="7"/>
  <c r="I51" i="1"/>
  <c r="I51" i="12"/>
  <c r="K51" i="7"/>
  <c r="L51" i="7"/>
  <c r="K57" i="12"/>
  <c r="L29" i="7"/>
  <c r="C101" i="1"/>
  <c r="D44" i="8"/>
  <c r="D36" i="12"/>
  <c r="A80" i="1"/>
  <c r="A31" i="7"/>
  <c r="A80" i="7"/>
  <c r="K106" i="1"/>
  <c r="C24" i="12"/>
  <c r="K61" i="7"/>
  <c r="I58" i="7"/>
  <c r="AA70" i="7"/>
  <c r="AE70" i="7"/>
  <c r="AC70" i="7"/>
  <c r="AG70" i="7"/>
  <c r="AH70" i="7"/>
  <c r="I36" i="12"/>
  <c r="I44" i="8"/>
  <c r="K49" i="8"/>
  <c r="L49" i="8"/>
  <c r="K47" i="8"/>
  <c r="L47" i="8"/>
  <c r="K45" i="8"/>
  <c r="L45" i="8"/>
  <c r="K43" i="8"/>
  <c r="L43" i="8"/>
  <c r="K41" i="8"/>
  <c r="L41" i="8"/>
  <c r="K39" i="8"/>
  <c r="L39" i="8"/>
  <c r="K35" i="8"/>
  <c r="L35" i="8"/>
  <c r="K31" i="8"/>
  <c r="L31" i="8"/>
  <c r="K38" i="8"/>
  <c r="L38" i="8"/>
  <c r="K36" i="8"/>
  <c r="L36" i="8"/>
  <c r="K34" i="8"/>
  <c r="L34" i="8"/>
  <c r="K32" i="8"/>
  <c r="L32" i="8"/>
  <c r="K30" i="8"/>
  <c r="L30" i="8"/>
  <c r="L29" i="8"/>
  <c r="K51" i="8"/>
  <c r="L51" i="8"/>
  <c r="L52" i="8"/>
  <c r="K61" i="8"/>
  <c r="K32" i="7"/>
  <c r="L32" i="7"/>
  <c r="K30" i="7"/>
  <c r="L30" i="7"/>
  <c r="AI58" i="7"/>
  <c r="K23" i="12"/>
  <c r="E12" i="13"/>
  <c r="AJ58" i="1"/>
  <c r="D30" i="1"/>
  <c r="I30" i="1"/>
  <c r="K48" i="1"/>
  <c r="L48" i="1"/>
  <c r="K35" i="1"/>
  <c r="L35" i="1"/>
  <c r="K32" i="1"/>
  <c r="L32" i="1"/>
  <c r="A9" i="7"/>
  <c r="K58" i="7"/>
  <c r="K57" i="7"/>
  <c r="A46" i="12"/>
  <c r="A95" i="12"/>
  <c r="A46" i="8"/>
  <c r="A95" i="8"/>
  <c r="A46" i="7"/>
  <c r="A95" i="7"/>
  <c r="A95" i="1"/>
  <c r="D44" i="1"/>
  <c r="D49" i="1"/>
  <c r="I49" i="1"/>
  <c r="A47" i="7"/>
  <c r="A96" i="7"/>
  <c r="A47" i="12"/>
  <c r="A96" i="12"/>
  <c r="A47" i="8"/>
  <c r="A96" i="8"/>
  <c r="A96" i="1"/>
  <c r="D45" i="12"/>
  <c r="I45" i="12"/>
  <c r="K52" i="12"/>
  <c r="K52" i="7"/>
  <c r="D48" i="1"/>
  <c r="I48" i="1"/>
  <c r="A97" i="1"/>
  <c r="A48" i="8"/>
  <c r="A97" i="8"/>
  <c r="A48" i="12"/>
  <c r="A97" i="12"/>
  <c r="C101" i="8"/>
  <c r="C101" i="12"/>
  <c r="D107" i="13"/>
  <c r="AJ58" i="8"/>
  <c r="AA70" i="1"/>
  <c r="AE70" i="1"/>
  <c r="AG70" i="1"/>
  <c r="AC70" i="1"/>
  <c r="C101" i="7"/>
  <c r="K61" i="12"/>
  <c r="D41" i="7"/>
  <c r="I41" i="7"/>
  <c r="A89" i="1"/>
  <c r="A40" i="12"/>
  <c r="A89" i="12"/>
  <c r="A40" i="8"/>
  <c r="A89" i="8"/>
  <c r="D39" i="8"/>
  <c r="I39" i="8"/>
  <c r="A88" i="1"/>
  <c r="A39" i="12"/>
  <c r="A88" i="12"/>
  <c r="A39" i="7"/>
  <c r="A88" i="7"/>
  <c r="D38" i="7"/>
  <c r="I38" i="7"/>
  <c r="A38" i="7"/>
  <c r="A87" i="7"/>
  <c r="D36" i="7"/>
  <c r="I36" i="7"/>
  <c r="D35" i="12"/>
  <c r="D35" i="8"/>
  <c r="I35" i="8"/>
  <c r="D34" i="8"/>
  <c r="D31" i="7"/>
  <c r="A79" i="1"/>
  <c r="A30" i="7"/>
  <c r="A79" i="7"/>
  <c r="AE58" i="8"/>
  <c r="AK58" i="8"/>
  <c r="A19" i="12"/>
  <c r="A10" i="8"/>
  <c r="A7" i="7"/>
  <c r="A6" i="8"/>
  <c r="K52" i="8"/>
  <c r="K58" i="8"/>
  <c r="K57" i="8"/>
  <c r="E84" i="9"/>
  <c r="AE70" i="8"/>
  <c r="I58" i="8"/>
  <c r="AA70" i="8"/>
  <c r="AC70" i="8"/>
  <c r="AG70" i="8"/>
  <c r="E8" i="13"/>
  <c r="D39" i="13"/>
  <c r="D18" i="13"/>
  <c r="B39" i="13"/>
  <c r="AH70" i="1"/>
  <c r="CV12" i="13"/>
  <c r="CY12" i="13"/>
  <c r="CS12" i="13"/>
  <c r="CX12" i="13"/>
  <c r="CU12" i="13"/>
  <c r="CT12" i="13"/>
  <c r="D12" i="13"/>
  <c r="CR12" i="13"/>
  <c r="CQ12" i="13"/>
  <c r="DA12" i="13"/>
  <c r="CW12" i="13"/>
  <c r="CZ12" i="13"/>
  <c r="K33" i="1"/>
  <c r="L33" i="1"/>
  <c r="K31" i="1"/>
  <c r="L31" i="1"/>
  <c r="K38" i="1"/>
  <c r="L38" i="1"/>
  <c r="K42" i="1"/>
  <c r="L42" i="1"/>
  <c r="K50" i="1"/>
  <c r="L50" i="1"/>
  <c r="K30" i="1"/>
  <c r="L30" i="1"/>
  <c r="K29" i="1"/>
  <c r="L29" i="1"/>
  <c r="K34" i="1"/>
  <c r="L34" i="1"/>
  <c r="K37" i="1"/>
  <c r="L37" i="1"/>
  <c r="K39" i="1"/>
  <c r="L39" i="1"/>
  <c r="K41" i="1"/>
  <c r="L41" i="1"/>
  <c r="K43" i="1"/>
  <c r="L43" i="1"/>
  <c r="K45" i="1"/>
  <c r="L45" i="1"/>
  <c r="K47" i="1"/>
  <c r="L47" i="1"/>
  <c r="K49" i="1"/>
  <c r="L49" i="1"/>
  <c r="K51" i="1"/>
  <c r="L51" i="1"/>
  <c r="K36" i="1"/>
  <c r="L36" i="1"/>
  <c r="K40" i="1"/>
  <c r="L40" i="1"/>
  <c r="K46" i="1"/>
  <c r="L46" i="1"/>
  <c r="K44" i="1"/>
  <c r="L44" i="1"/>
  <c r="K61" i="1"/>
  <c r="K58" i="1"/>
  <c r="K57" i="1"/>
  <c r="K62" i="1"/>
  <c r="I34" i="8"/>
  <c r="I52" i="8"/>
  <c r="D52" i="8"/>
  <c r="I35" i="12"/>
  <c r="I52" i="12"/>
  <c r="D52" i="12"/>
  <c r="I58" i="12"/>
  <c r="AE70" i="12"/>
  <c r="AA70" i="12"/>
  <c r="AC70" i="12"/>
  <c r="AG70" i="12"/>
  <c r="AH70" i="12"/>
  <c r="I31" i="7"/>
  <c r="I52" i="7"/>
  <c r="D52" i="7"/>
  <c r="E107" i="13"/>
  <c r="I44" i="1"/>
  <c r="D52" i="1"/>
  <c r="AI58" i="8"/>
  <c r="E5" i="13"/>
  <c r="I93" i="9"/>
  <c r="E17" i="13"/>
  <c r="E39" i="13"/>
  <c r="E80" i="9"/>
  <c r="AH70" i="8"/>
  <c r="E18" i="13"/>
  <c r="E40" i="13"/>
  <c r="I94" i="9"/>
  <c r="E14" i="13"/>
  <c r="E10" i="13"/>
  <c r="E87" i="9"/>
  <c r="E4" i="13"/>
  <c r="D40" i="13"/>
  <c r="H94" i="9"/>
  <c r="H93" i="9"/>
  <c r="D17" i="13"/>
  <c r="F93" i="9"/>
  <c r="B17" i="13"/>
  <c r="K112" i="1"/>
  <c r="C18" i="13"/>
  <c r="C40" i="13"/>
  <c r="G93" i="9"/>
  <c r="G94" i="9"/>
  <c r="C17" i="13"/>
  <c r="C39" i="13"/>
  <c r="K63" i="1"/>
  <c r="K52" i="1"/>
  <c r="L52" i="1"/>
  <c r="K62" i="8"/>
  <c r="K63" i="8"/>
  <c r="CY44" i="13"/>
  <c r="DA42" i="13"/>
  <c r="CX19" i="13"/>
  <c r="H53" i="13"/>
  <c r="Q45" i="13"/>
  <c r="U47" i="13"/>
  <c r="G49" i="13"/>
  <c r="X42" i="13"/>
  <c r="Y42" i="13"/>
  <c r="O47" i="13"/>
  <c r="N53" i="13"/>
  <c r="L44" i="13"/>
  <c r="W48" i="13"/>
  <c r="J45" i="13"/>
  <c r="G43" i="13"/>
  <c r="S50" i="13"/>
  <c r="F50" i="13"/>
  <c r="U49" i="13"/>
  <c r="H45" i="13"/>
  <c r="L43" i="13"/>
  <c r="K42" i="13"/>
  <c r="CX44" i="13"/>
  <c r="DA46" i="13"/>
  <c r="DA52" i="13"/>
  <c r="S46" i="13"/>
  <c r="P19" i="13"/>
  <c r="S47" i="13"/>
  <c r="Y43" i="13"/>
  <c r="Y46" i="13"/>
  <c r="J43" i="13"/>
  <c r="U52" i="13"/>
  <c r="K48" i="13"/>
  <c r="X44" i="13"/>
  <c r="S54" i="13"/>
  <c r="F46" i="13"/>
  <c r="O19" i="13"/>
  <c r="V42" i="13"/>
  <c r="O49" i="13"/>
  <c r="J49" i="13"/>
  <c r="V53" i="13"/>
  <c r="CZ46" i="13"/>
  <c r="H43" i="13"/>
  <c r="Y44" i="13"/>
  <c r="H52" i="13"/>
  <c r="R46" i="13"/>
  <c r="H48" i="13"/>
  <c r="W45" i="13"/>
  <c r="N52" i="13"/>
  <c r="I52" i="13"/>
  <c r="O48" i="13"/>
  <c r="CZ52" i="13"/>
  <c r="G42" i="13"/>
  <c r="U43" i="13"/>
  <c r="M48" i="13"/>
  <c r="M47" i="13"/>
  <c r="K43" i="13"/>
  <c r="K44" i="13"/>
  <c r="Y51" i="13"/>
  <c r="H19" i="13"/>
  <c r="T52" i="13"/>
  <c r="CW54" i="13"/>
  <c r="CZ54" i="13"/>
  <c r="CW47" i="13"/>
  <c r="DA49" i="13"/>
  <c r="CY42" i="13"/>
  <c r="F49" i="13"/>
  <c r="X50" i="13"/>
  <c r="K49" i="13"/>
  <c r="I54" i="13"/>
  <c r="J42" i="13"/>
  <c r="P49" i="13"/>
  <c r="W47" i="13"/>
  <c r="I47" i="13"/>
  <c r="CX51" i="13"/>
  <c r="CZ48" i="13"/>
  <c r="T43" i="13"/>
  <c r="X49" i="13"/>
  <c r="I46" i="13"/>
  <c r="R53" i="13"/>
  <c r="O52" i="13"/>
  <c r="K51" i="13"/>
  <c r="P51" i="13"/>
  <c r="Q52" i="13"/>
  <c r="L50" i="13"/>
  <c r="CW44" i="13"/>
  <c r="CZ19" i="13"/>
  <c r="CZ50" i="13"/>
  <c r="CX50" i="13"/>
  <c r="S43" i="13"/>
  <c r="J48" i="13"/>
  <c r="X54" i="13"/>
  <c r="I50" i="13"/>
  <c r="G45" i="13"/>
  <c r="O50" i="13"/>
  <c r="R47" i="13"/>
  <c r="G48" i="13"/>
  <c r="F44" i="13"/>
  <c r="N43" i="13"/>
  <c r="P52" i="13"/>
  <c r="O46" i="13"/>
  <c r="F47" i="13"/>
  <c r="H44" i="13"/>
  <c r="P42" i="13"/>
  <c r="R54" i="13"/>
  <c r="Q44" i="13"/>
  <c r="Y19" i="13"/>
  <c r="CX48" i="13"/>
  <c r="DA44" i="13"/>
  <c r="DA47" i="13"/>
  <c r="V48" i="13"/>
  <c r="J53" i="13"/>
  <c r="U19" i="13"/>
  <c r="T46" i="13"/>
  <c r="K19" i="13"/>
  <c r="O45" i="13"/>
  <c r="V52" i="13"/>
  <c r="V49" i="13"/>
  <c r="F19" i="13"/>
  <c r="X43" i="13"/>
  <c r="S48" i="13"/>
  <c r="I49" i="13"/>
  <c r="T54" i="13"/>
  <c r="P48" i="13"/>
  <c r="X46" i="13"/>
  <c r="H51" i="13"/>
  <c r="W53" i="13"/>
  <c r="CY52" i="13"/>
  <c r="L19" i="13"/>
  <c r="Q54" i="13"/>
  <c r="S44" i="13"/>
  <c r="O54" i="13"/>
  <c r="M42" i="13"/>
  <c r="R44" i="13"/>
  <c r="N51" i="13"/>
  <c r="G52" i="13"/>
  <c r="F54" i="13"/>
  <c r="CX42" i="13"/>
  <c r="DA48" i="13"/>
  <c r="Y53" i="13"/>
  <c r="F53" i="13"/>
  <c r="Y54" i="13"/>
  <c r="V50" i="13"/>
  <c r="W54" i="13"/>
  <c r="O43" i="13"/>
  <c r="J47" i="13"/>
  <c r="V43" i="13"/>
  <c r="L42" i="13"/>
  <c r="CY54" i="13"/>
  <c r="CW46" i="13"/>
  <c r="CY46" i="13"/>
  <c r="CZ45" i="13"/>
  <c r="T48" i="13"/>
  <c r="F42" i="13"/>
  <c r="V47" i="13"/>
  <c r="I48" i="13"/>
  <c r="L48" i="13"/>
  <c r="M51" i="13"/>
  <c r="L54" i="13"/>
  <c r="W44" i="13"/>
  <c r="J51" i="13"/>
  <c r="CX43" i="13"/>
  <c r="Q50" i="13"/>
  <c r="U45" i="13"/>
  <c r="M43" i="13"/>
  <c r="N42" i="13"/>
  <c r="Y50" i="13"/>
  <c r="V44" i="13"/>
  <c r="T49" i="13"/>
  <c r="Y45" i="13"/>
  <c r="T47" i="13"/>
  <c r="CW42" i="13"/>
  <c r="DA53" i="13"/>
  <c r="CW50" i="13"/>
  <c r="CY61" i="13"/>
  <c r="CY49" i="13"/>
  <c r="CY47" i="13"/>
  <c r="CZ53" i="13"/>
  <c r="CY50" i="13"/>
  <c r="W52" i="13"/>
  <c r="X48" i="13"/>
  <c r="M49" i="13"/>
  <c r="T53" i="13"/>
  <c r="P43" i="13"/>
  <c r="S49" i="13"/>
  <c r="P50" i="13"/>
  <c r="T42" i="13"/>
  <c r="V51" i="13"/>
  <c r="F45" i="13"/>
  <c r="L52" i="13"/>
  <c r="I45" i="13"/>
  <c r="U42" i="13"/>
  <c r="O42" i="13"/>
  <c r="X51" i="13"/>
  <c r="Q51" i="13"/>
  <c r="CX47" i="13"/>
  <c r="DA51" i="13"/>
  <c r="L47" i="13"/>
  <c r="R52" i="13"/>
  <c r="R48" i="13"/>
  <c r="H46" i="13"/>
  <c r="H42" i="13"/>
  <c r="V19" i="13"/>
  <c r="U46" i="13"/>
  <c r="Q42" i="13"/>
  <c r="R49" i="13"/>
  <c r="O51" i="13"/>
  <c r="Q53" i="13"/>
  <c r="R51" i="13"/>
  <c r="R43" i="13"/>
  <c r="I53" i="13"/>
  <c r="Y47" i="13"/>
  <c r="N19" i="13"/>
  <c r="S53" i="13"/>
  <c r="DA54" i="13"/>
  <c r="CZ42" i="13"/>
  <c r="V46" i="13"/>
  <c r="S45" i="13"/>
  <c r="F51" i="13"/>
  <c r="R50" i="13"/>
  <c r="Y52" i="13"/>
  <c r="Q46" i="13"/>
  <c r="J50" i="13"/>
  <c r="K53" i="13"/>
  <c r="CY45" i="13"/>
  <c r="CZ47" i="13"/>
  <c r="Q48" i="13"/>
  <c r="X19" i="13"/>
  <c r="P44" i="13"/>
  <c r="G54" i="13"/>
  <c r="Q19" i="13"/>
  <c r="U50" i="13"/>
  <c r="S52" i="13"/>
  <c r="N47" i="13"/>
  <c r="G47" i="13"/>
  <c r="CW53" i="13"/>
  <c r="CX49" i="13"/>
  <c r="CY48" i="13"/>
  <c r="CZ44" i="13"/>
  <c r="CZ61" i="13"/>
  <c r="J54" i="13"/>
  <c r="K46" i="13"/>
  <c r="L49" i="13"/>
  <c r="K45" i="13"/>
  <c r="P47" i="13"/>
  <c r="W49" i="13"/>
  <c r="N46" i="13"/>
  <c r="N48" i="13"/>
  <c r="I44" i="13"/>
  <c r="DA19" i="13"/>
  <c r="G19" i="13"/>
  <c r="X52" i="13"/>
  <c r="H47" i="13"/>
  <c r="M50" i="13"/>
  <c r="W50" i="13"/>
  <c r="L45" i="13"/>
  <c r="G51" i="13"/>
  <c r="M19" i="13"/>
  <c r="H50" i="13"/>
  <c r="CW45" i="13"/>
  <c r="CX54" i="13"/>
  <c r="CZ51" i="13"/>
  <c r="CX45" i="13"/>
  <c r="CZ49" i="13"/>
  <c r="Y49" i="13"/>
  <c r="U51" i="13"/>
  <c r="G50" i="13"/>
  <c r="W46" i="13"/>
  <c r="G46" i="13"/>
  <c r="R45" i="13"/>
  <c r="U44" i="13"/>
  <c r="I19" i="13"/>
  <c r="K47" i="13"/>
  <c r="K52" i="13"/>
  <c r="Q47" i="13"/>
  <c r="I51" i="13"/>
  <c r="L46" i="13"/>
  <c r="W42" i="13"/>
  <c r="F52" i="13"/>
  <c r="P46" i="13"/>
  <c r="P54" i="13"/>
  <c r="CY19" i="13"/>
  <c r="DA50" i="13"/>
  <c r="D16" i="13"/>
  <c r="E16" i="13"/>
  <c r="CW19" i="13"/>
  <c r="X45" i="13"/>
  <c r="J19" i="13"/>
  <c r="N44" i="13"/>
  <c r="H49" i="13"/>
  <c r="T51" i="13"/>
  <c r="K54" i="13"/>
  <c r="W51" i="13"/>
  <c r="U48" i="13"/>
  <c r="M54" i="13"/>
  <c r="U54" i="13"/>
  <c r="T50" i="13"/>
  <c r="F43" i="13"/>
  <c r="L51" i="13"/>
  <c r="T19" i="13"/>
  <c r="Q43" i="13"/>
  <c r="M53" i="13"/>
  <c r="H54" i="13"/>
  <c r="DA45" i="13"/>
  <c r="CX52" i="13"/>
  <c r="O44" i="13"/>
  <c r="M52" i="13"/>
  <c r="T45" i="13"/>
  <c r="X47" i="13"/>
  <c r="S42" i="13"/>
  <c r="R42" i="13"/>
  <c r="G53" i="13"/>
  <c r="I43" i="13"/>
  <c r="G44" i="13"/>
  <c r="CY51" i="13"/>
  <c r="Y48" i="13"/>
  <c r="J44" i="13"/>
  <c r="N49" i="13"/>
  <c r="M45" i="13"/>
  <c r="V45" i="13"/>
  <c r="W19" i="13"/>
  <c r="N45" i="13"/>
  <c r="I42" i="13"/>
  <c r="V54" i="13"/>
  <c r="CW49" i="13"/>
  <c r="CY53" i="13"/>
  <c r="CW43" i="13"/>
  <c r="CY43" i="13"/>
  <c r="CY60" i="13"/>
  <c r="N54" i="13"/>
  <c r="P53" i="13"/>
  <c r="L53" i="13"/>
  <c r="M46" i="13"/>
  <c r="F48" i="13"/>
  <c r="N50" i="13"/>
  <c r="X53" i="13"/>
  <c r="J46" i="13"/>
  <c r="S51" i="13"/>
  <c r="CX46" i="13"/>
  <c r="CZ43" i="13"/>
  <c r="J52" i="13"/>
  <c r="T44" i="13"/>
  <c r="K50" i="13"/>
  <c r="M44" i="13"/>
  <c r="P45" i="13"/>
  <c r="O53" i="13"/>
  <c r="U53" i="13"/>
  <c r="W43" i="13"/>
  <c r="Q49" i="13"/>
  <c r="CW61" i="13"/>
  <c r="CW51" i="13"/>
  <c r="CX53" i="13"/>
  <c r="CW48" i="13"/>
  <c r="DA27" i="13"/>
  <c r="CY27" i="13"/>
  <c r="DA61" i="13"/>
  <c r="CW64" i="13"/>
  <c r="CW30" i="13"/>
  <c r="CX30" i="13"/>
  <c r="CX66" i="13"/>
  <c r="DA32" i="13"/>
  <c r="CW66" i="13"/>
  <c r="CW68" i="13"/>
  <c r="CX34" i="13"/>
  <c r="CZ27" i="13"/>
  <c r="CX27" i="13"/>
  <c r="CW52" i="13"/>
  <c r="CW27" i="13"/>
  <c r="CX61" i="13"/>
  <c r="CZ64" i="13"/>
  <c r="CZ30" i="13"/>
  <c r="CX32" i="13"/>
  <c r="CW32" i="13"/>
  <c r="CY68" i="13"/>
  <c r="CW34" i="13"/>
  <c r="DA68" i="13"/>
  <c r="DA64" i="13"/>
  <c r="CY64" i="13"/>
  <c r="DA66" i="13"/>
  <c r="CZ32" i="13"/>
  <c r="CZ34" i="13"/>
  <c r="CZ68" i="13"/>
  <c r="CZ36" i="13"/>
  <c r="CZ70" i="13"/>
  <c r="CW36" i="13"/>
  <c r="CY70" i="13"/>
  <c r="CX26" i="13"/>
  <c r="DA36" i="13"/>
  <c r="DA70" i="13"/>
  <c r="CY26" i="13"/>
  <c r="CY30" i="13"/>
  <c r="CX64" i="13"/>
  <c r="DA30" i="13"/>
  <c r="CY32" i="13"/>
  <c r="CY66" i="13"/>
  <c r="CZ66" i="13"/>
  <c r="DA34" i="13"/>
  <c r="CY34" i="13"/>
  <c r="CX68" i="13"/>
  <c r="CW70" i="13"/>
  <c r="CW26" i="13"/>
  <c r="CZ26" i="13"/>
  <c r="DA26" i="13"/>
  <c r="CX36" i="13"/>
  <c r="CY36" i="13"/>
  <c r="CX70" i="13"/>
  <c r="CZ60" i="13"/>
  <c r="CW60" i="13"/>
  <c r="CX60" i="13"/>
  <c r="K101" i="12"/>
  <c r="K101" i="7"/>
  <c r="D101" i="7"/>
  <c r="D22" i="7"/>
  <c r="D24" i="7"/>
  <c r="I64" i="7"/>
  <c r="I64" i="8"/>
  <c r="D4" i="13"/>
  <c r="CQ4" i="13"/>
  <c r="CU4" i="13"/>
  <c r="CV4" i="13"/>
  <c r="CR4" i="13"/>
  <c r="DA4" i="13"/>
  <c r="CY4" i="13"/>
  <c r="CT4" i="13"/>
  <c r="CZ4" i="13"/>
  <c r="CS4" i="13"/>
  <c r="CW4" i="13"/>
  <c r="CX4" i="13"/>
  <c r="CT10" i="13"/>
  <c r="CV10" i="13"/>
  <c r="CU10" i="13"/>
  <c r="CS10" i="13"/>
  <c r="D10" i="13"/>
  <c r="CR10" i="13"/>
  <c r="CQ10" i="13"/>
  <c r="CX10" i="13"/>
  <c r="CY10" i="13"/>
  <c r="DA10" i="13"/>
  <c r="CZ10" i="13"/>
  <c r="CW10" i="13"/>
  <c r="DA40" i="13"/>
  <c r="CX40" i="13"/>
  <c r="CW40" i="13"/>
  <c r="CS40" i="13"/>
  <c r="CY40" i="13"/>
  <c r="CV40" i="13"/>
  <c r="CR40" i="13"/>
  <c r="CZ40" i="13"/>
  <c r="CT40" i="13"/>
  <c r="CU40" i="13"/>
  <c r="CQ40" i="13"/>
  <c r="E13" i="13"/>
  <c r="CX8" i="13"/>
  <c r="CV8" i="13"/>
  <c r="CU8" i="13"/>
  <c r="D8" i="13"/>
  <c r="CQ8" i="13"/>
  <c r="CW8" i="13"/>
  <c r="CT8" i="13"/>
  <c r="CY8" i="13"/>
  <c r="DA8" i="13"/>
  <c r="CZ8" i="13"/>
  <c r="CS8" i="13"/>
  <c r="CR8" i="13"/>
  <c r="E9" i="13"/>
  <c r="CY17" i="13"/>
  <c r="CQ17" i="13"/>
  <c r="CU17" i="13"/>
  <c r="DA17" i="13"/>
  <c r="CT17" i="13"/>
  <c r="CX17" i="13"/>
  <c r="CZ17" i="13"/>
  <c r="CS17" i="13"/>
  <c r="CV17" i="13"/>
  <c r="CR17" i="13"/>
  <c r="CW17" i="13"/>
  <c r="CV5" i="13"/>
  <c r="CU5" i="13"/>
  <c r="CZ5" i="13"/>
  <c r="CX5" i="13"/>
  <c r="D5" i="13"/>
  <c r="CQ5" i="13"/>
  <c r="CR5" i="13"/>
  <c r="CS5" i="13"/>
  <c r="CT5" i="13"/>
  <c r="CY5" i="13"/>
  <c r="CW5" i="13"/>
  <c r="DA5" i="13"/>
  <c r="CU14" i="13"/>
  <c r="CV14" i="13"/>
  <c r="CZ14" i="13"/>
  <c r="CX14" i="13"/>
  <c r="CT14" i="13"/>
  <c r="CW14" i="13"/>
  <c r="DA14" i="13"/>
  <c r="D14" i="13"/>
  <c r="CR14" i="13"/>
  <c r="CY14" i="13"/>
  <c r="CQ14" i="13"/>
  <c r="CS14" i="13"/>
  <c r="CY18" i="13"/>
  <c r="CW18" i="13"/>
  <c r="CV18" i="13"/>
  <c r="CZ18" i="13"/>
  <c r="CU18" i="13"/>
  <c r="CR18" i="13"/>
  <c r="CT18" i="13"/>
  <c r="DA18" i="13"/>
  <c r="CX18" i="13"/>
  <c r="CS18" i="13"/>
  <c r="CQ18" i="13"/>
  <c r="E3" i="13"/>
  <c r="CT39" i="13"/>
  <c r="CV39" i="13"/>
  <c r="CW39" i="13"/>
  <c r="CU39" i="13"/>
  <c r="CR39" i="13"/>
  <c r="CX39" i="13"/>
  <c r="CQ39" i="13"/>
  <c r="CS39" i="13"/>
  <c r="CY39" i="13"/>
  <c r="DA39" i="13"/>
  <c r="CZ39" i="13"/>
  <c r="BX39" i="13"/>
  <c r="CN39" i="13"/>
  <c r="CA39" i="13"/>
  <c r="CG39" i="13"/>
  <c r="CC39" i="13"/>
  <c r="BY39" i="13"/>
  <c r="BZ39" i="13"/>
  <c r="CL39" i="13"/>
  <c r="CD39" i="13"/>
  <c r="CI39" i="13"/>
  <c r="CB39" i="13"/>
  <c r="CJ39" i="13"/>
  <c r="CM39" i="13"/>
  <c r="CE39" i="13"/>
  <c r="BW39" i="13"/>
  <c r="CH39" i="13"/>
  <c r="CO39" i="13"/>
  <c r="CF39" i="13"/>
  <c r="CP39" i="13"/>
  <c r="CK39" i="13"/>
  <c r="CJ18" i="13"/>
  <c r="CO18" i="13"/>
  <c r="CK18" i="13"/>
  <c r="CG18" i="13"/>
  <c r="BZ18" i="13"/>
  <c r="CB18" i="13"/>
  <c r="CL18" i="13"/>
  <c r="CD18" i="13"/>
  <c r="CA18" i="13"/>
  <c r="CI18" i="13"/>
  <c r="CN18" i="13"/>
  <c r="CF18" i="13"/>
  <c r="BY18" i="13"/>
  <c r="BX18" i="13"/>
  <c r="CC18" i="13"/>
  <c r="CH18" i="13"/>
  <c r="BW18" i="13"/>
  <c r="CE18" i="13"/>
  <c r="CM18" i="13"/>
  <c r="CP18" i="13"/>
  <c r="CL17" i="13"/>
  <c r="CG17" i="13"/>
  <c r="CM17" i="13"/>
  <c r="BX17" i="13"/>
  <c r="CP17" i="13"/>
  <c r="CC17" i="13"/>
  <c r="CD17" i="13"/>
  <c r="CN17" i="13"/>
  <c r="BW17" i="13"/>
  <c r="CJ17" i="13"/>
  <c r="CB17" i="13"/>
  <c r="CI17" i="13"/>
  <c r="CE17" i="13"/>
  <c r="BZ17" i="13"/>
  <c r="CH17" i="13"/>
  <c r="CO17" i="13"/>
  <c r="CF17" i="13"/>
  <c r="CA17" i="13"/>
  <c r="CK17" i="13"/>
  <c r="BY17" i="13"/>
  <c r="CC40" i="13"/>
  <c r="CO40" i="13"/>
  <c r="CD40" i="13"/>
  <c r="CG40" i="13"/>
  <c r="CF40" i="13"/>
  <c r="BZ40" i="13"/>
  <c r="CP40" i="13"/>
  <c r="BY40" i="13"/>
  <c r="CM40" i="13"/>
  <c r="CJ40" i="13"/>
  <c r="CI40" i="13"/>
  <c r="CH40" i="13"/>
  <c r="CK40" i="13"/>
  <c r="BX40" i="13"/>
  <c r="CE40" i="13"/>
  <c r="CB40" i="13"/>
  <c r="BW40" i="13"/>
  <c r="CL40" i="13"/>
  <c r="CN40" i="13"/>
  <c r="CA40" i="13"/>
  <c r="R17" i="13"/>
  <c r="K17" i="13"/>
  <c r="X17" i="13"/>
  <c r="AD17" i="13"/>
  <c r="AM17" i="13"/>
  <c r="H17" i="13"/>
  <c r="AO17" i="13"/>
  <c r="V17" i="13"/>
  <c r="AB17" i="13"/>
  <c r="J17" i="13"/>
  <c r="U17" i="13"/>
  <c r="G17" i="13"/>
  <c r="AQ17" i="13"/>
  <c r="Y17" i="13"/>
  <c r="F17" i="13"/>
  <c r="AE17" i="13"/>
  <c r="AJ17" i="13"/>
  <c r="AK17" i="13"/>
  <c r="O17" i="13"/>
  <c r="AA17" i="13"/>
  <c r="S17" i="13"/>
  <c r="AR17" i="13"/>
  <c r="W17" i="13"/>
  <c r="M17" i="13"/>
  <c r="AN17" i="13"/>
  <c r="N17" i="13"/>
  <c r="AF17" i="13"/>
  <c r="T17" i="13"/>
  <c r="AG17" i="13"/>
  <c r="I17" i="13"/>
  <c r="L17" i="13"/>
  <c r="AL17" i="13"/>
  <c r="P17" i="13"/>
  <c r="AP17" i="13"/>
  <c r="AH17" i="13"/>
  <c r="Q17" i="13"/>
  <c r="Z17" i="13"/>
  <c r="AI17" i="13"/>
  <c r="AC17" i="13"/>
  <c r="G39" i="13"/>
  <c r="AG39" i="13"/>
  <c r="M39" i="13"/>
  <c r="K39" i="13"/>
  <c r="N39" i="13"/>
  <c r="F39" i="13"/>
  <c r="AP39" i="13"/>
  <c r="P39" i="13"/>
  <c r="AA39" i="13"/>
  <c r="J39" i="13"/>
  <c r="AF39" i="13"/>
  <c r="AR39" i="13"/>
  <c r="AN39" i="13"/>
  <c r="AL39" i="13"/>
  <c r="AK39" i="13"/>
  <c r="Z39" i="13"/>
  <c r="Y39" i="13"/>
  <c r="H39" i="13"/>
  <c r="AD39" i="13"/>
  <c r="S39" i="13"/>
  <c r="O39" i="13"/>
  <c r="I39" i="13"/>
  <c r="AJ39" i="13"/>
  <c r="AB39" i="13"/>
  <c r="AC39" i="13"/>
  <c r="T39" i="13"/>
  <c r="L39" i="13"/>
  <c r="W39" i="13"/>
  <c r="AE39" i="13"/>
  <c r="AI39" i="13"/>
  <c r="R39" i="13"/>
  <c r="Q39" i="13"/>
  <c r="AO39" i="13"/>
  <c r="AM39" i="13"/>
  <c r="AQ39" i="13"/>
  <c r="U39" i="13"/>
  <c r="X39" i="13"/>
  <c r="AH39" i="13"/>
  <c r="V39" i="13"/>
  <c r="BH39" i="13"/>
  <c r="BR39" i="13"/>
  <c r="AV39" i="13"/>
  <c r="BB39" i="13"/>
  <c r="BC39" i="13"/>
  <c r="BU39" i="13"/>
  <c r="BN39" i="13"/>
  <c r="AT39" i="13"/>
  <c r="AU39" i="13"/>
  <c r="BK39" i="13"/>
  <c r="BG39" i="13"/>
  <c r="BE39" i="13"/>
  <c r="BM39" i="13"/>
  <c r="AX39" i="13"/>
  <c r="BV39" i="13"/>
  <c r="BS39" i="13"/>
  <c r="BT39" i="13"/>
  <c r="AY39" i="13"/>
  <c r="BA39" i="13"/>
  <c r="BL39" i="13"/>
  <c r="BJ39" i="13"/>
  <c r="BP39" i="13"/>
  <c r="BQ39" i="13"/>
  <c r="AZ39" i="13"/>
  <c r="BF39" i="13"/>
  <c r="BO39" i="13"/>
  <c r="AS39" i="13"/>
  <c r="BD39" i="13"/>
  <c r="AW39" i="13"/>
  <c r="BI39" i="13"/>
  <c r="BG18" i="13"/>
  <c r="BC18" i="13"/>
  <c r="BF18" i="13"/>
  <c r="BS18" i="13"/>
  <c r="BJ18" i="13"/>
  <c r="BD18" i="13"/>
  <c r="BI18" i="13"/>
  <c r="BK18" i="13"/>
  <c r="BM18" i="13"/>
  <c r="BH18" i="13"/>
  <c r="BU18" i="13"/>
  <c r="BR18" i="13"/>
  <c r="BN18" i="13"/>
  <c r="BO18" i="13"/>
  <c r="BV18" i="13"/>
  <c r="BP18" i="13"/>
  <c r="BQ18" i="13"/>
  <c r="BL18" i="13"/>
  <c r="BT18" i="13"/>
  <c r="BE18" i="13"/>
  <c r="BO17" i="13"/>
  <c r="BK17" i="13"/>
  <c r="AW17" i="13"/>
  <c r="BQ17" i="13"/>
  <c r="BH17" i="13"/>
  <c r="BM17" i="13"/>
  <c r="BD17" i="13"/>
  <c r="AS17" i="13"/>
  <c r="BP17" i="13"/>
  <c r="BL17" i="13"/>
  <c r="AV17" i="13"/>
  <c r="BS17" i="13"/>
  <c r="BG17" i="13"/>
  <c r="AX17" i="13"/>
  <c r="BE17" i="13"/>
  <c r="BT17" i="13"/>
  <c r="BR17" i="13"/>
  <c r="BI17" i="13"/>
  <c r="BA17" i="13"/>
  <c r="AU17" i="13"/>
  <c r="BV17" i="13"/>
  <c r="BU17" i="13"/>
  <c r="BN17" i="13"/>
  <c r="AY17" i="13"/>
  <c r="BB17" i="13"/>
  <c r="AZ17" i="13"/>
  <c r="BJ17" i="13"/>
  <c r="BC17" i="13"/>
  <c r="BF17" i="13"/>
  <c r="AT17" i="13"/>
  <c r="BU40" i="13"/>
  <c r="BO40" i="13"/>
  <c r="BL40" i="13"/>
  <c r="BQ40" i="13"/>
  <c r="BM40" i="13"/>
  <c r="BD40" i="13"/>
  <c r="BS40" i="13"/>
  <c r="BJ40" i="13"/>
  <c r="BC40" i="13"/>
  <c r="BN40" i="13"/>
  <c r="BV40" i="13"/>
  <c r="BR40" i="13"/>
  <c r="BP40" i="13"/>
  <c r="BF40" i="13"/>
  <c r="BE40" i="13"/>
  <c r="BI40" i="13"/>
  <c r="BK40" i="13"/>
  <c r="BG40" i="13"/>
  <c r="BT40" i="13"/>
  <c r="BH40" i="13"/>
  <c r="K62" i="7"/>
  <c r="K63" i="7"/>
  <c r="CY25" i="13"/>
  <c r="CZ59" i="13"/>
  <c r="CY59" i="13"/>
  <c r="CW59" i="13"/>
  <c r="DA25" i="13"/>
  <c r="CW25" i="13"/>
  <c r="CX59" i="13"/>
  <c r="DA59" i="13"/>
  <c r="CZ25" i="13"/>
  <c r="CX25" i="13"/>
  <c r="CW65" i="13"/>
  <c r="CZ31" i="13"/>
  <c r="CY31" i="13"/>
  <c r="CX31" i="13"/>
  <c r="CW31" i="13"/>
  <c r="CX65" i="13"/>
  <c r="DA65" i="13"/>
  <c r="DA31" i="13"/>
  <c r="CZ65" i="13"/>
  <c r="CY65" i="13"/>
  <c r="CY13" i="13"/>
  <c r="CX13" i="13"/>
  <c r="D13" i="13"/>
  <c r="CQ13" i="13"/>
  <c r="CT13" i="13"/>
  <c r="DA13" i="13"/>
  <c r="CU13" i="13"/>
  <c r="CS13" i="13"/>
  <c r="CZ13" i="13"/>
  <c r="CR13" i="13"/>
  <c r="CW13" i="13"/>
  <c r="CV13" i="13"/>
  <c r="CT3" i="13"/>
  <c r="CU3" i="13"/>
  <c r="D3" i="13"/>
  <c r="CR3" i="13"/>
  <c r="CS3" i="13"/>
  <c r="CQ3" i="13"/>
  <c r="CY3" i="13"/>
  <c r="CX3" i="13"/>
  <c r="CZ3" i="13"/>
  <c r="DA3" i="13"/>
  <c r="CV3" i="13"/>
  <c r="CW3" i="13"/>
  <c r="CV9" i="13"/>
  <c r="CX9" i="13"/>
  <c r="CU9" i="13"/>
  <c r="CZ9" i="13"/>
  <c r="CY9" i="13"/>
  <c r="D9" i="13"/>
  <c r="CR9" i="13"/>
  <c r="CW9" i="13"/>
  <c r="CS9" i="13"/>
  <c r="CT9" i="13"/>
  <c r="CQ9" i="13"/>
  <c r="DA9" i="13"/>
  <c r="DA35" i="13"/>
  <c r="CX35" i="13"/>
  <c r="CZ35" i="13"/>
  <c r="CW69" i="13"/>
  <c r="CX69" i="13"/>
  <c r="DA69" i="13"/>
  <c r="CZ69" i="13"/>
  <c r="CY35" i="13"/>
  <c r="CY69" i="13"/>
  <c r="CW35" i="13"/>
  <c r="L57" i="12"/>
  <c r="L61" i="12"/>
  <c r="L62" i="7"/>
  <c r="L61" i="7"/>
  <c r="L23" i="7"/>
  <c r="L23" i="12"/>
  <c r="L58" i="7"/>
  <c r="L63" i="7"/>
  <c r="L64" i="7"/>
  <c r="I63" i="7"/>
  <c r="I52" i="1"/>
  <c r="K101" i="8"/>
  <c r="E7" i="13"/>
  <c r="E15" i="13"/>
  <c r="L52" i="7"/>
  <c r="C80" i="9"/>
  <c r="C84" i="9"/>
  <c r="B87" i="9"/>
  <c r="D87" i="9"/>
  <c r="C87" i="9"/>
  <c r="B80" i="9"/>
  <c r="B84" i="9"/>
  <c r="D80" i="9"/>
  <c r="D84" i="9"/>
  <c r="D7" i="13"/>
  <c r="B15" i="13"/>
  <c r="B12" i="13"/>
  <c r="B9" i="13"/>
  <c r="B5" i="13"/>
  <c r="C10" i="13"/>
  <c r="D11" i="13"/>
  <c r="B14" i="13"/>
  <c r="B11" i="13"/>
  <c r="B8" i="13"/>
  <c r="B4" i="13"/>
  <c r="C6" i="13"/>
  <c r="C15" i="13"/>
  <c r="C12" i="13"/>
  <c r="C9" i="13"/>
  <c r="CS15" i="13"/>
  <c r="CW15" i="13"/>
  <c r="CV15" i="13"/>
  <c r="CU15" i="13"/>
  <c r="CZ15" i="13"/>
  <c r="CY15" i="13"/>
  <c r="D15" i="13"/>
  <c r="CQ15" i="13"/>
  <c r="CX15" i="13"/>
  <c r="CT15" i="13"/>
  <c r="CR15" i="13"/>
  <c r="DA15" i="13"/>
  <c r="DA63" i="13"/>
  <c r="CY63" i="13"/>
  <c r="CW63" i="13"/>
  <c r="CZ29" i="13"/>
  <c r="CY29" i="13"/>
  <c r="CX63" i="13"/>
  <c r="CX29" i="13"/>
  <c r="CZ63" i="13"/>
  <c r="DA29" i="13"/>
  <c r="CW29" i="13"/>
  <c r="CQ46" i="13"/>
  <c r="CS46" i="13"/>
  <c r="CJ46" i="13"/>
  <c r="CN46" i="13"/>
  <c r="CM46" i="13"/>
  <c r="CI46" i="13"/>
  <c r="CV46" i="13"/>
  <c r="CT46" i="13"/>
  <c r="CH46" i="13"/>
  <c r="CO46" i="13"/>
  <c r="CP46" i="13"/>
  <c r="CL46" i="13"/>
  <c r="CU46" i="13"/>
  <c r="CK46" i="13"/>
  <c r="E11" i="13"/>
  <c r="K101" i="1"/>
  <c r="B7" i="13"/>
  <c r="C5" i="13"/>
  <c r="C14" i="13"/>
  <c r="C11" i="13"/>
  <c r="C8" i="13"/>
  <c r="D6" i="13"/>
  <c r="B10" i="13"/>
  <c r="B6" i="13"/>
  <c r="C4" i="13"/>
  <c r="C7" i="13"/>
  <c r="D101" i="12"/>
  <c r="D22" i="12"/>
  <c r="D24" i="12"/>
  <c r="D101" i="1"/>
  <c r="D22" i="1"/>
  <c r="D24" i="1"/>
  <c r="DA37" i="13"/>
  <c r="CM54" i="13"/>
  <c r="CY71" i="13"/>
  <c r="CV54" i="13"/>
  <c r="CY37" i="13"/>
  <c r="CZ71" i="13"/>
  <c r="CJ54" i="13"/>
  <c r="CL54" i="13"/>
  <c r="DA71" i="13"/>
  <c r="CX37" i="13"/>
  <c r="CS54" i="13"/>
  <c r="CK54" i="13"/>
  <c r="CX71" i="13"/>
  <c r="CH54" i="13"/>
  <c r="CZ37" i="13"/>
  <c r="CU54" i="13"/>
  <c r="CI54" i="13"/>
  <c r="CW71" i="13"/>
  <c r="CP54" i="13"/>
  <c r="CO54" i="13"/>
  <c r="CN54" i="13"/>
  <c r="CT54" i="13"/>
  <c r="CQ54" i="13"/>
  <c r="CW37" i="13"/>
  <c r="CT7" i="13"/>
  <c r="CV7" i="13"/>
  <c r="CW7" i="13"/>
  <c r="CY7" i="13"/>
  <c r="CX7" i="13"/>
  <c r="CZ7" i="13"/>
  <c r="CU7" i="13"/>
  <c r="CQ7" i="13"/>
  <c r="CS7" i="13"/>
  <c r="CR7" i="13"/>
  <c r="DA7" i="13"/>
  <c r="I57" i="7"/>
  <c r="S23" i="7"/>
  <c r="S23" i="8"/>
  <c r="D101" i="8"/>
  <c r="D22" i="8"/>
  <c r="D24" i="8"/>
  <c r="BU7" i="13"/>
  <c r="BO7" i="13"/>
  <c r="BH7" i="13"/>
  <c r="BF7" i="13"/>
  <c r="BE7" i="13"/>
  <c r="BM7" i="13"/>
  <c r="AZ7" i="13"/>
  <c r="BD7" i="13"/>
  <c r="AU7" i="13"/>
  <c r="BN7" i="13"/>
  <c r="AW7" i="13"/>
  <c r="BR7" i="13"/>
  <c r="AT7" i="13"/>
  <c r="BT7" i="13"/>
  <c r="AX7" i="13"/>
  <c r="BJ7" i="13"/>
  <c r="BA7" i="13"/>
  <c r="BK7" i="13"/>
  <c r="BP7" i="13"/>
  <c r="AS7" i="13"/>
  <c r="AV7" i="13"/>
  <c r="BC7" i="13"/>
  <c r="BG7" i="13"/>
  <c r="BI7" i="13"/>
  <c r="AY7" i="13"/>
  <c r="BS7" i="13"/>
  <c r="BQ7" i="13"/>
  <c r="BB7" i="13"/>
  <c r="BL7" i="13"/>
  <c r="BV7" i="13"/>
  <c r="W28" i="13"/>
  <c r="BD28" i="13"/>
  <c r="Q28" i="13"/>
  <c r="AP28" i="13"/>
  <c r="N28" i="13"/>
  <c r="AR28" i="13"/>
  <c r="AS28" i="13"/>
  <c r="AB28" i="13"/>
  <c r="AM28" i="13"/>
  <c r="S28" i="13"/>
  <c r="Z28" i="13"/>
  <c r="U28" i="13"/>
  <c r="BB28" i="13"/>
  <c r="AL28" i="13"/>
  <c r="AO28" i="13"/>
  <c r="Y28" i="13"/>
  <c r="V28" i="13"/>
  <c r="AG28" i="13"/>
  <c r="AE28" i="13"/>
  <c r="AX28" i="13"/>
  <c r="AA28" i="13"/>
  <c r="H28" i="13"/>
  <c r="AH28" i="13"/>
  <c r="M28" i="13"/>
  <c r="AV28" i="13"/>
  <c r="G28" i="13"/>
  <c r="BG28" i="13"/>
  <c r="AI28" i="13"/>
  <c r="T28" i="13"/>
  <c r="AW28" i="13"/>
  <c r="J28" i="13"/>
  <c r="AC28" i="13"/>
  <c r="AY28" i="13"/>
  <c r="AJ28" i="13"/>
  <c r="AU28" i="13"/>
  <c r="BH28" i="13"/>
  <c r="X28" i="13"/>
  <c r="I28" i="13"/>
  <c r="AF28" i="13"/>
  <c r="AT28" i="13"/>
  <c r="AN28" i="13"/>
  <c r="R28" i="13"/>
  <c r="BA28" i="13"/>
  <c r="F28" i="13"/>
  <c r="BF28" i="13"/>
  <c r="L28" i="13"/>
  <c r="AZ28" i="13"/>
  <c r="AD28" i="13"/>
  <c r="P28" i="13"/>
  <c r="BE28" i="13"/>
  <c r="O28" i="13"/>
  <c r="AQ28" i="13"/>
  <c r="K28" i="13"/>
  <c r="AK28" i="13"/>
  <c r="BC28" i="13"/>
  <c r="B13" i="13"/>
  <c r="CC49" i="13"/>
  <c r="BN49" i="13"/>
  <c r="CQ32" i="13"/>
  <c r="BI49" i="13"/>
  <c r="CV32" i="13"/>
  <c r="CS32" i="13"/>
  <c r="CP49" i="13"/>
  <c r="BW49" i="13"/>
  <c r="CF49" i="13"/>
  <c r="BJ49" i="13"/>
  <c r="CK32" i="13"/>
  <c r="CQ49" i="13"/>
  <c r="CJ49" i="13"/>
  <c r="CH49" i="13"/>
  <c r="CS49" i="13"/>
  <c r="CH66" i="13"/>
  <c r="CA49" i="13"/>
  <c r="BX49" i="13"/>
  <c r="BT49" i="13"/>
  <c r="CU49" i="13"/>
  <c r="CU66" i="13"/>
  <c r="CO49" i="13"/>
  <c r="CU32" i="13"/>
  <c r="BP49" i="13"/>
  <c r="CI32" i="13"/>
  <c r="CN32" i="13"/>
  <c r="CQ66" i="13"/>
  <c r="CJ66" i="13"/>
  <c r="BO49" i="13"/>
  <c r="BK49" i="13"/>
  <c r="CB49" i="13"/>
  <c r="CE49" i="13"/>
  <c r="BV49" i="13"/>
  <c r="CT32" i="13"/>
  <c r="CG49" i="13"/>
  <c r="BQ49" i="13"/>
  <c r="CH32" i="13"/>
  <c r="CO66" i="13"/>
  <c r="CO32" i="13"/>
  <c r="BL49" i="13"/>
  <c r="CP32" i="13"/>
  <c r="CM32" i="13"/>
  <c r="CT49" i="13"/>
  <c r="CN49" i="13"/>
  <c r="CI49" i="13"/>
  <c r="CK49" i="13"/>
  <c r="CV49" i="13"/>
  <c r="CM49" i="13"/>
  <c r="CL49" i="13"/>
  <c r="CL32" i="13"/>
  <c r="CD49" i="13"/>
  <c r="BZ49" i="13"/>
  <c r="BM49" i="13"/>
  <c r="BS49" i="13"/>
  <c r="CP66" i="13"/>
  <c r="CJ32" i="13"/>
  <c r="BR49" i="13"/>
  <c r="BY49" i="13"/>
  <c r="CR32" i="13"/>
  <c r="CS66" i="13"/>
  <c r="CT66" i="13"/>
  <c r="CN66" i="13"/>
  <c r="CI66" i="13"/>
  <c r="CK66" i="13"/>
  <c r="CV66" i="13"/>
  <c r="CR66" i="13"/>
  <c r="CM66" i="13"/>
  <c r="CL66" i="13"/>
  <c r="AY11" i="13"/>
  <c r="AT11" i="13"/>
  <c r="BB11" i="13"/>
  <c r="BT11" i="13"/>
  <c r="BG11" i="13"/>
  <c r="BC11" i="13"/>
  <c r="BH11" i="13"/>
  <c r="AV11" i="13"/>
  <c r="BN11" i="13"/>
  <c r="BQ11" i="13"/>
  <c r="BO11" i="13"/>
  <c r="BR11" i="13"/>
  <c r="BF11" i="13"/>
  <c r="BK11" i="13"/>
  <c r="AS11" i="13"/>
  <c r="BP11" i="13"/>
  <c r="AU11" i="13"/>
  <c r="BV11" i="13"/>
  <c r="AZ11" i="13"/>
  <c r="BA11" i="13"/>
  <c r="BU11" i="13"/>
  <c r="BI11" i="13"/>
  <c r="BL11" i="13"/>
  <c r="BJ11" i="13"/>
  <c r="AW11" i="13"/>
  <c r="BS11" i="13"/>
  <c r="BM11" i="13"/>
  <c r="BD11" i="13"/>
  <c r="BE11" i="13"/>
  <c r="AX11" i="13"/>
  <c r="AX14" i="13"/>
  <c r="BH14" i="13"/>
  <c r="BN14" i="13"/>
  <c r="BO14" i="13"/>
  <c r="AV14" i="13"/>
  <c r="BA14" i="13"/>
  <c r="BI14" i="13"/>
  <c r="AS14" i="13"/>
  <c r="BK14" i="13"/>
  <c r="BL14" i="13"/>
  <c r="BE14" i="13"/>
  <c r="AY14" i="13"/>
  <c r="AW14" i="13"/>
  <c r="AZ14" i="13"/>
  <c r="BQ14" i="13"/>
  <c r="BB14" i="13"/>
  <c r="BR14" i="13"/>
  <c r="BM14" i="13"/>
  <c r="AT14" i="13"/>
  <c r="BT14" i="13"/>
  <c r="BP14" i="13"/>
  <c r="BJ14" i="13"/>
  <c r="BU14" i="13"/>
  <c r="BC14" i="13"/>
  <c r="AU14" i="13"/>
  <c r="BG14" i="13"/>
  <c r="BD14" i="13"/>
  <c r="BV14" i="13"/>
  <c r="BF14" i="13"/>
  <c r="BS14" i="13"/>
  <c r="BO27" i="13"/>
  <c r="CC27" i="13"/>
  <c r="AI44" i="13"/>
  <c r="BR27" i="13"/>
  <c r="BV27" i="13"/>
  <c r="CD27" i="13"/>
  <c r="AK44" i="13"/>
  <c r="BL27" i="13"/>
  <c r="AX44" i="13"/>
  <c r="AA44" i="13"/>
  <c r="BB44" i="13"/>
  <c r="AN44" i="13"/>
  <c r="AH44" i="13"/>
  <c r="CA27" i="13"/>
  <c r="BS27" i="13"/>
  <c r="AT44" i="13"/>
  <c r="BF44" i="13"/>
  <c r="BP27" i="13"/>
  <c r="AW44" i="13"/>
  <c r="AE44" i="13"/>
  <c r="BK27" i="13"/>
  <c r="BH44" i="13"/>
  <c r="BX27" i="13"/>
  <c r="BN27" i="13"/>
  <c r="CG27" i="13"/>
  <c r="BE44" i="13"/>
  <c r="CB27" i="13"/>
  <c r="AG44" i="13"/>
  <c r="AS44" i="13"/>
  <c r="AF44" i="13"/>
  <c r="AQ44" i="13"/>
  <c r="AV44" i="13"/>
  <c r="AR44" i="13"/>
  <c r="BW27" i="13"/>
  <c r="AM44" i="13"/>
  <c r="BC44" i="13"/>
  <c r="BA44" i="13"/>
  <c r="AU44" i="13"/>
  <c r="BD44" i="13"/>
  <c r="BQ27" i="13"/>
  <c r="CF27" i="13"/>
  <c r="BZ27" i="13"/>
  <c r="AP44" i="13"/>
  <c r="CE27" i="13"/>
  <c r="BU27" i="13"/>
  <c r="AY44" i="13"/>
  <c r="AO44" i="13"/>
  <c r="Z44" i="13"/>
  <c r="AC44" i="13"/>
  <c r="BJ27" i="13"/>
  <c r="AL44" i="13"/>
  <c r="AB44" i="13"/>
  <c r="BT27" i="13"/>
  <c r="BI27" i="13"/>
  <c r="AZ44" i="13"/>
  <c r="BM27" i="13"/>
  <c r="AJ44" i="13"/>
  <c r="BG44" i="13"/>
  <c r="BY27" i="13"/>
  <c r="Q7" i="13"/>
  <c r="Q63" i="13"/>
  <c r="M7" i="13"/>
  <c r="M63" i="13"/>
  <c r="AN7" i="13"/>
  <c r="X7" i="13"/>
  <c r="X63" i="13"/>
  <c r="G7" i="13"/>
  <c r="G63" i="13"/>
  <c r="Z7" i="13"/>
  <c r="V7" i="13"/>
  <c r="V63" i="13"/>
  <c r="O7" i="13"/>
  <c r="O63" i="13"/>
  <c r="AH7" i="13"/>
  <c r="AA7" i="13"/>
  <c r="AG7" i="13"/>
  <c r="T7" i="13"/>
  <c r="T63" i="13"/>
  <c r="AJ7" i="13"/>
  <c r="AC7" i="13"/>
  <c r="K7" i="13"/>
  <c r="K63" i="13"/>
  <c r="AP7" i="13"/>
  <c r="AO7" i="13"/>
  <c r="AB7" i="13"/>
  <c r="U7" i="13"/>
  <c r="U63" i="13"/>
  <c r="W7" i="13"/>
  <c r="W63" i="13"/>
  <c r="AD7" i="13"/>
  <c r="R7" i="13"/>
  <c r="R63" i="13"/>
  <c r="H7" i="13"/>
  <c r="H63" i="13"/>
  <c r="AR7" i="13"/>
  <c r="AF7" i="13"/>
  <c r="AQ7" i="13"/>
  <c r="P7" i="13"/>
  <c r="P63" i="13"/>
  <c r="AI7" i="13"/>
  <c r="I7" i="13"/>
  <c r="I63" i="13"/>
  <c r="L7" i="13"/>
  <c r="L63" i="13"/>
  <c r="J7" i="13"/>
  <c r="J63" i="13"/>
  <c r="AM7" i="13"/>
  <c r="N7" i="13"/>
  <c r="N63" i="13"/>
  <c r="F7" i="13"/>
  <c r="F63" i="13"/>
  <c r="Y7" i="13"/>
  <c r="Y63" i="13"/>
  <c r="AL7" i="13"/>
  <c r="S7" i="13"/>
  <c r="S63" i="13"/>
  <c r="AK7" i="13"/>
  <c r="AE7" i="13"/>
  <c r="CC5" i="13"/>
  <c r="CD5" i="13"/>
  <c r="CO5" i="13"/>
  <c r="BW5" i="13"/>
  <c r="CP5" i="13"/>
  <c r="CL5" i="13"/>
  <c r="CA5" i="13"/>
  <c r="CH5" i="13"/>
  <c r="CF5" i="13"/>
  <c r="CM5" i="13"/>
  <c r="BZ5" i="13"/>
  <c r="CN5" i="13"/>
  <c r="BY5" i="13"/>
  <c r="CI5" i="13"/>
  <c r="CK5" i="13"/>
  <c r="CB5" i="13"/>
  <c r="CG5" i="13"/>
  <c r="BX5" i="13"/>
  <c r="CJ5" i="13"/>
  <c r="CE5" i="13"/>
  <c r="BP48" i="13"/>
  <c r="CB48" i="13"/>
  <c r="BQ48" i="13"/>
  <c r="BJ48" i="13"/>
  <c r="BX48" i="13"/>
  <c r="BS48" i="13"/>
  <c r="BO48" i="13"/>
  <c r="BN48" i="13"/>
  <c r="CE48" i="13"/>
  <c r="BY48" i="13"/>
  <c r="BZ48" i="13"/>
  <c r="BL48" i="13"/>
  <c r="CA48" i="13"/>
  <c r="CC48" i="13"/>
  <c r="BR48" i="13"/>
  <c r="BM48" i="13"/>
  <c r="BT48" i="13"/>
  <c r="CD48" i="13"/>
  <c r="BW48" i="13"/>
  <c r="CG48" i="13"/>
  <c r="BK48" i="13"/>
  <c r="CF48" i="13"/>
  <c r="BV48" i="13"/>
  <c r="CU48" i="13"/>
  <c r="CU65" i="13"/>
  <c r="CN48" i="13"/>
  <c r="CL31" i="13"/>
  <c r="CL48" i="13"/>
  <c r="CK48" i="13"/>
  <c r="CK65" i="13"/>
  <c r="CK31" i="13"/>
  <c r="CT48" i="13"/>
  <c r="CT65" i="13"/>
  <c r="CS31" i="13"/>
  <c r="CV48" i="13"/>
  <c r="CV65" i="13"/>
  <c r="CI48" i="13"/>
  <c r="CH31" i="13"/>
  <c r="CM48" i="13"/>
  <c r="CR65" i="13"/>
  <c r="CU31" i="13"/>
  <c r="CP48" i="13"/>
  <c r="CP65" i="13"/>
  <c r="CS48" i="13"/>
  <c r="CM31" i="13"/>
  <c r="CJ48" i="13"/>
  <c r="CQ48" i="13"/>
  <c r="CV31" i="13"/>
  <c r="CN65" i="13"/>
  <c r="CJ31" i="13"/>
  <c r="CL65" i="13"/>
  <c r="CO31" i="13"/>
  <c r="CQ31" i="13"/>
  <c r="CI65" i="13"/>
  <c r="CI31" i="13"/>
  <c r="CM65" i="13"/>
  <c r="CP31" i="13"/>
  <c r="CS65" i="13"/>
  <c r="CR31" i="13"/>
  <c r="CJ65" i="13"/>
  <c r="CN31" i="13"/>
  <c r="CO48" i="13"/>
  <c r="CO65" i="13"/>
  <c r="CH48" i="13"/>
  <c r="CQ65" i="13"/>
  <c r="CT31" i="13"/>
  <c r="CH65" i="13"/>
  <c r="CL51" i="13"/>
  <c r="CN51" i="13"/>
  <c r="CJ34" i="13"/>
  <c r="CP34" i="13"/>
  <c r="CH51" i="13"/>
  <c r="CJ51" i="13"/>
  <c r="CT51" i="13"/>
  <c r="CU51" i="13"/>
  <c r="CO51" i="13"/>
  <c r="CO68" i="13"/>
  <c r="CL34" i="13"/>
  <c r="CL68" i="13"/>
  <c r="CK51" i="13"/>
  <c r="CK68" i="13"/>
  <c r="CV51" i="13"/>
  <c r="CS51" i="13"/>
  <c r="CS68" i="13"/>
  <c r="CP51" i="13"/>
  <c r="CU34" i="13"/>
  <c r="CV34" i="13"/>
  <c r="CJ68" i="13"/>
  <c r="CT68" i="13"/>
  <c r="CR68" i="13"/>
  <c r="CI51" i="13"/>
  <c r="CI68" i="13"/>
  <c r="CH34" i="13"/>
  <c r="CK34" i="13"/>
  <c r="CM51" i="13"/>
  <c r="CN34" i="13"/>
  <c r="CO34" i="13"/>
  <c r="CV68" i="13"/>
  <c r="CP68" i="13"/>
  <c r="CS34" i="13"/>
  <c r="CT34" i="13"/>
  <c r="CU68" i="13"/>
  <c r="CQ51" i="13"/>
  <c r="CQ68" i="13"/>
  <c r="CI34" i="13"/>
  <c r="CR34" i="13"/>
  <c r="CN68" i="13"/>
  <c r="CM68" i="13"/>
  <c r="CQ34" i="13"/>
  <c r="CM34" i="13"/>
  <c r="CH68" i="13"/>
  <c r="CF51" i="13"/>
  <c r="CD51" i="13"/>
  <c r="BT51" i="13"/>
  <c r="BN51" i="13"/>
  <c r="CE51" i="13"/>
  <c r="BR51" i="13"/>
  <c r="CB51" i="13"/>
  <c r="BJ51" i="13"/>
  <c r="BO51" i="13"/>
  <c r="BM51" i="13"/>
  <c r="BP51" i="13"/>
  <c r="BZ51" i="13"/>
  <c r="BI51" i="13"/>
  <c r="BS51" i="13"/>
  <c r="BV51" i="13"/>
  <c r="BW51" i="13"/>
  <c r="CC51" i="13"/>
  <c r="CG51" i="13"/>
  <c r="BX51" i="13"/>
  <c r="BL51" i="13"/>
  <c r="BQ51" i="13"/>
  <c r="BK51" i="13"/>
  <c r="BY51" i="13"/>
  <c r="CA51" i="13"/>
  <c r="CM15" i="13"/>
  <c r="BX15" i="13"/>
  <c r="CE15" i="13"/>
  <c r="CJ15" i="13"/>
  <c r="CC15" i="13"/>
  <c r="CD15" i="13"/>
  <c r="CI15" i="13"/>
  <c r="CL15" i="13"/>
  <c r="CH15" i="13"/>
  <c r="BY15" i="13"/>
  <c r="CB15" i="13"/>
  <c r="CF15" i="13"/>
  <c r="BZ15" i="13"/>
  <c r="CG15" i="13"/>
  <c r="CO15" i="13"/>
  <c r="BW15" i="13"/>
  <c r="CK15" i="13"/>
  <c r="CA15" i="13"/>
  <c r="CP15" i="13"/>
  <c r="CN15" i="13"/>
  <c r="CQ11" i="13"/>
  <c r="CY11" i="13"/>
  <c r="CV11" i="13"/>
  <c r="DA11" i="13"/>
  <c r="CX11" i="13"/>
  <c r="CU11" i="13"/>
  <c r="CZ11" i="13"/>
  <c r="CT11" i="13"/>
  <c r="CW11" i="13"/>
  <c r="CR11" i="13"/>
  <c r="CS11" i="13"/>
  <c r="I112" i="1"/>
  <c r="I63" i="1"/>
  <c r="I63" i="12"/>
  <c r="I57" i="12"/>
  <c r="AA46" i="13"/>
  <c r="AZ46" i="13"/>
  <c r="BB46" i="13"/>
  <c r="AW46" i="13"/>
  <c r="AI46" i="13"/>
  <c r="AX46" i="13"/>
  <c r="BC46" i="13"/>
  <c r="AN46" i="13"/>
  <c r="BD46" i="13"/>
  <c r="BH46" i="13"/>
  <c r="AS46" i="13"/>
  <c r="AF46" i="13"/>
  <c r="AP46" i="13"/>
  <c r="BF46" i="13"/>
  <c r="AE46" i="13"/>
  <c r="AG46" i="13"/>
  <c r="BE46" i="13"/>
  <c r="AY46" i="13"/>
  <c r="BA46" i="13"/>
  <c r="AO46" i="13"/>
  <c r="AU46" i="13"/>
  <c r="AC46" i="13"/>
  <c r="AQ46" i="13"/>
  <c r="Z46" i="13"/>
  <c r="AB46" i="13"/>
  <c r="AH46" i="13"/>
  <c r="AM46" i="13"/>
  <c r="AT46" i="13"/>
  <c r="AL46" i="13"/>
  <c r="BG46" i="13"/>
  <c r="AJ46" i="13"/>
  <c r="AV46" i="13"/>
  <c r="AR46" i="13"/>
  <c r="AK46" i="13"/>
  <c r="BQ29" i="13"/>
  <c r="BN29" i="13"/>
  <c r="BM29" i="13"/>
  <c r="CB29" i="13"/>
  <c r="BR29" i="13"/>
  <c r="CE29" i="13"/>
  <c r="BY29" i="13"/>
  <c r="BX29" i="13"/>
  <c r="BO29" i="13"/>
  <c r="BJ29" i="13"/>
  <c r="BP29" i="13"/>
  <c r="BL29" i="13"/>
  <c r="BV29" i="13"/>
  <c r="BK29" i="13"/>
  <c r="BI29" i="13"/>
  <c r="BT29" i="13"/>
  <c r="BZ29" i="13"/>
  <c r="CC29" i="13"/>
  <c r="BW29" i="13"/>
  <c r="CF29" i="13"/>
  <c r="BS29" i="13"/>
  <c r="CG29" i="13"/>
  <c r="CA29" i="13"/>
  <c r="BU29" i="13"/>
  <c r="CD29" i="13"/>
  <c r="AT4" i="13"/>
  <c r="AS4" i="13"/>
  <c r="BD4" i="13"/>
  <c r="BU4" i="13"/>
  <c r="AU4" i="13"/>
  <c r="BQ4" i="13"/>
  <c r="BL4" i="13"/>
  <c r="BB4" i="13"/>
  <c r="BS4" i="13"/>
  <c r="BC4" i="13"/>
  <c r="BE4" i="13"/>
  <c r="BR4" i="13"/>
  <c r="AW4" i="13"/>
  <c r="BO4" i="13"/>
  <c r="BV4" i="13"/>
  <c r="AZ4" i="13"/>
  <c r="BH4" i="13"/>
  <c r="BN4" i="13"/>
  <c r="BT4" i="13"/>
  <c r="AV4" i="13"/>
  <c r="BG4" i="13"/>
  <c r="BM4" i="13"/>
  <c r="BP4" i="13"/>
  <c r="BK4" i="13"/>
  <c r="BJ4" i="13"/>
  <c r="AX4" i="13"/>
  <c r="BI4" i="13"/>
  <c r="BA4" i="13"/>
  <c r="BF4" i="13"/>
  <c r="AY4" i="13"/>
  <c r="F6" i="13"/>
  <c r="F62" i="13"/>
  <c r="U6" i="13"/>
  <c r="U62" i="13"/>
  <c r="R6" i="13"/>
  <c r="R62" i="13"/>
  <c r="E6" i="13"/>
  <c r="AJ6" i="13"/>
  <c r="AG6" i="13"/>
  <c r="K6" i="13"/>
  <c r="K62" i="13"/>
  <c r="I6" i="13"/>
  <c r="I62" i="13"/>
  <c r="AA6" i="13"/>
  <c r="AP6" i="13"/>
  <c r="H6" i="13"/>
  <c r="H62" i="13"/>
  <c r="AK6" i="13"/>
  <c r="AO6" i="13"/>
  <c r="T6" i="13"/>
  <c r="T62" i="13"/>
  <c r="AQ6" i="13"/>
  <c r="AI6" i="13"/>
  <c r="AR6" i="13"/>
  <c r="W6" i="13"/>
  <c r="W62" i="13"/>
  <c r="AC6" i="13"/>
  <c r="AL6" i="13"/>
  <c r="AF6" i="13"/>
  <c r="G6" i="13"/>
  <c r="G62" i="13"/>
  <c r="M6" i="13"/>
  <c r="M62" i="13"/>
  <c r="J6" i="13"/>
  <c r="J62" i="13"/>
  <c r="AN6" i="13"/>
  <c r="O6" i="13"/>
  <c r="O62" i="13"/>
  <c r="P6" i="13"/>
  <c r="P62" i="13"/>
  <c r="V6" i="13"/>
  <c r="V62" i="13"/>
  <c r="AM6" i="13"/>
  <c r="AH6" i="13"/>
  <c r="X6" i="13"/>
  <c r="X62" i="13"/>
  <c r="N6" i="13"/>
  <c r="N62" i="13"/>
  <c r="AE6" i="13"/>
  <c r="Z6" i="13"/>
  <c r="AB6" i="13"/>
  <c r="L6" i="13"/>
  <c r="L62" i="13"/>
  <c r="Q6" i="13"/>
  <c r="Q62" i="13"/>
  <c r="AD6" i="13"/>
  <c r="Y6" i="13"/>
  <c r="Y62" i="13"/>
  <c r="S6" i="13"/>
  <c r="S62" i="13"/>
  <c r="W32" i="13"/>
  <c r="P32" i="13"/>
  <c r="AA32" i="13"/>
  <c r="AZ32" i="13"/>
  <c r="BH32" i="13"/>
  <c r="G32" i="13"/>
  <c r="Z32" i="13"/>
  <c r="AV32" i="13"/>
  <c r="I32" i="13"/>
  <c r="AH32" i="13"/>
  <c r="AL32" i="13"/>
  <c r="AR32" i="13"/>
  <c r="O32" i="13"/>
  <c r="AO32" i="13"/>
  <c r="AW32" i="13"/>
  <c r="AN32" i="13"/>
  <c r="AE32" i="13"/>
  <c r="J32" i="13"/>
  <c r="AQ32" i="13"/>
  <c r="BB32" i="13"/>
  <c r="AT32" i="13"/>
  <c r="K32" i="13"/>
  <c r="Q32" i="13"/>
  <c r="AB32" i="13"/>
  <c r="L32" i="13"/>
  <c r="AI32" i="13"/>
  <c r="V32" i="13"/>
  <c r="BC32" i="13"/>
  <c r="AP32" i="13"/>
  <c r="AS32" i="13"/>
  <c r="X32" i="13"/>
  <c r="AD32" i="13"/>
  <c r="AU32" i="13"/>
  <c r="M32" i="13"/>
  <c r="AF32" i="13"/>
  <c r="AY32" i="13"/>
  <c r="Y32" i="13"/>
  <c r="AM32" i="13"/>
  <c r="T32" i="13"/>
  <c r="AK32" i="13"/>
  <c r="BD32" i="13"/>
  <c r="BE32" i="13"/>
  <c r="AC32" i="13"/>
  <c r="H32" i="13"/>
  <c r="BF32" i="13"/>
  <c r="AG32" i="13"/>
  <c r="AJ32" i="13"/>
  <c r="N32" i="13"/>
  <c r="S32" i="13"/>
  <c r="R32" i="13"/>
  <c r="BA32" i="13"/>
  <c r="BG32" i="13"/>
  <c r="F32" i="13"/>
  <c r="U32" i="13"/>
  <c r="AX32" i="13"/>
  <c r="CC6" i="13"/>
  <c r="CM6" i="13"/>
  <c r="CA6" i="13"/>
  <c r="CJ6" i="13"/>
  <c r="CI6" i="13"/>
  <c r="CD6" i="13"/>
  <c r="BX6" i="13"/>
  <c r="CB6" i="13"/>
  <c r="CO6" i="13"/>
  <c r="CN6" i="13"/>
  <c r="CK6" i="13"/>
  <c r="CL6" i="13"/>
  <c r="CG6" i="13"/>
  <c r="CP6" i="13"/>
  <c r="CE6" i="13"/>
  <c r="CF6" i="13"/>
  <c r="BZ6" i="13"/>
  <c r="CH6" i="13"/>
  <c r="BY6" i="13"/>
  <c r="BW6" i="13"/>
  <c r="CF10" i="13"/>
  <c r="CP10" i="13"/>
  <c r="CC10" i="13"/>
  <c r="CA10" i="13"/>
  <c r="BY10" i="13"/>
  <c r="BX10" i="13"/>
  <c r="CD10" i="13"/>
  <c r="CL10" i="13"/>
  <c r="BZ10" i="13"/>
  <c r="CN10" i="13"/>
  <c r="BW10" i="13"/>
  <c r="CB10" i="13"/>
  <c r="CE10" i="13"/>
  <c r="CJ10" i="13"/>
  <c r="CO10" i="13"/>
  <c r="CH10" i="13"/>
  <c r="CM10" i="13"/>
  <c r="CG10" i="13"/>
  <c r="CI10" i="13"/>
  <c r="CK10" i="13"/>
  <c r="BO8" i="13"/>
  <c r="AZ8" i="13"/>
  <c r="BU8" i="13"/>
  <c r="BC8" i="13"/>
  <c r="BE8" i="13"/>
  <c r="BB8" i="13"/>
  <c r="BG8" i="13"/>
  <c r="BJ8" i="13"/>
  <c r="AS8" i="13"/>
  <c r="BL8" i="13"/>
  <c r="BP8" i="13"/>
  <c r="AV8" i="13"/>
  <c r="BH8" i="13"/>
  <c r="AT8" i="13"/>
  <c r="AW8" i="13"/>
  <c r="AX8" i="13"/>
  <c r="BT8" i="13"/>
  <c r="AY8" i="13"/>
  <c r="BA8" i="13"/>
  <c r="BD8" i="13"/>
  <c r="BR8" i="13"/>
  <c r="BQ8" i="13"/>
  <c r="BF8" i="13"/>
  <c r="BS8" i="13"/>
  <c r="BN8" i="13"/>
  <c r="AU8" i="13"/>
  <c r="BI8" i="13"/>
  <c r="BM8" i="13"/>
  <c r="BV8" i="13"/>
  <c r="BK8" i="13"/>
  <c r="CA33" i="13"/>
  <c r="BN33" i="13"/>
  <c r="AE50" i="13"/>
  <c r="AX50" i="13"/>
  <c r="AW50" i="13"/>
  <c r="AF50" i="13"/>
  <c r="AS50" i="13"/>
  <c r="CC33" i="13"/>
  <c r="BP33" i="13"/>
  <c r="AZ50" i="13"/>
  <c r="BD50" i="13"/>
  <c r="BJ33" i="13"/>
  <c r="BO33" i="13"/>
  <c r="BL33" i="13"/>
  <c r="BY33" i="13"/>
  <c r="CG33" i="13"/>
  <c r="AN50" i="13"/>
  <c r="BA50" i="13"/>
  <c r="AI50" i="13"/>
  <c r="AL50" i="13"/>
  <c r="BU33" i="13"/>
  <c r="BS33" i="13"/>
  <c r="CF33" i="13"/>
  <c r="AJ50" i="13"/>
  <c r="AA50" i="13"/>
  <c r="AH50" i="13"/>
  <c r="AR50" i="13"/>
  <c r="AY50" i="13"/>
  <c r="Z50" i="13"/>
  <c r="BV33" i="13"/>
  <c r="BF50" i="13"/>
  <c r="AQ50" i="13"/>
  <c r="AM50" i="13"/>
  <c r="BE50" i="13"/>
  <c r="AB50" i="13"/>
  <c r="AO50" i="13"/>
  <c r="BB50" i="13"/>
  <c r="AC50" i="13"/>
  <c r="AU50" i="13"/>
  <c r="CD33" i="13"/>
  <c r="CB33" i="13"/>
  <c r="BT33" i="13"/>
  <c r="BW33" i="13"/>
  <c r="BZ33" i="13"/>
  <c r="BX33" i="13"/>
  <c r="BR33" i="13"/>
  <c r="CE33" i="13"/>
  <c r="BG50" i="13"/>
  <c r="AP50" i="13"/>
  <c r="AK50" i="13"/>
  <c r="AV50" i="13"/>
  <c r="BI33" i="13"/>
  <c r="AG50" i="13"/>
  <c r="BC50" i="13"/>
  <c r="AT50" i="13"/>
  <c r="BH50" i="13"/>
  <c r="BQ33" i="13"/>
  <c r="BK33" i="13"/>
  <c r="BM33" i="13"/>
  <c r="AC53" i="13"/>
  <c r="BB53" i="13"/>
  <c r="CG36" i="13"/>
  <c r="AW53" i="13"/>
  <c r="AP53" i="13"/>
  <c r="BN36" i="13"/>
  <c r="AN53" i="13"/>
  <c r="BH53" i="13"/>
  <c r="BV36" i="13"/>
  <c r="BD53" i="13"/>
  <c r="AV53" i="13"/>
  <c r="AO53" i="13"/>
  <c r="BE53" i="13"/>
  <c r="AU53" i="13"/>
  <c r="BI36" i="13"/>
  <c r="AM53" i="13"/>
  <c r="BA53" i="13"/>
  <c r="AR53" i="13"/>
  <c r="CD36" i="13"/>
  <c r="AK53" i="13"/>
  <c r="BS36" i="13"/>
  <c r="AE53" i="13"/>
  <c r="BJ36" i="13"/>
  <c r="AY53" i="13"/>
  <c r="AH53" i="13"/>
  <c r="AL53" i="13"/>
  <c r="AF53" i="13"/>
  <c r="BC53" i="13"/>
  <c r="AQ53" i="13"/>
  <c r="AI53" i="13"/>
  <c r="Z53" i="13"/>
  <c r="BF53" i="13"/>
  <c r="AB53" i="13"/>
  <c r="BR36" i="13"/>
  <c r="AG53" i="13"/>
  <c r="AJ53" i="13"/>
  <c r="BL36" i="13"/>
  <c r="BZ36" i="13"/>
  <c r="CF36" i="13"/>
  <c r="BP36" i="13"/>
  <c r="AS53" i="13"/>
  <c r="BK36" i="13"/>
  <c r="BW36" i="13"/>
  <c r="BY36" i="13"/>
  <c r="AZ53" i="13"/>
  <c r="AT53" i="13"/>
  <c r="AA53" i="13"/>
  <c r="BO36" i="13"/>
  <c r="BX36" i="13"/>
  <c r="CE36" i="13"/>
  <c r="BM36" i="13"/>
  <c r="CA36" i="13"/>
  <c r="CC36" i="13"/>
  <c r="BQ36" i="13"/>
  <c r="BT36" i="13"/>
  <c r="CB36" i="13"/>
  <c r="BU36" i="13"/>
  <c r="BG53" i="13"/>
  <c r="AX53" i="13"/>
  <c r="AY5" i="13"/>
  <c r="BU5" i="13"/>
  <c r="AZ5" i="13"/>
  <c r="AT5" i="13"/>
  <c r="BO5" i="13"/>
  <c r="BV5" i="13"/>
  <c r="BD5" i="13"/>
  <c r="BT5" i="13"/>
  <c r="BG5" i="13"/>
  <c r="BH5" i="13"/>
  <c r="BB5" i="13"/>
  <c r="AX5" i="13"/>
  <c r="AW5" i="13"/>
  <c r="BK5" i="13"/>
  <c r="BQ5" i="13"/>
  <c r="AU5" i="13"/>
  <c r="BR5" i="13"/>
  <c r="BJ5" i="13"/>
  <c r="AS5" i="13"/>
  <c r="BA5" i="13"/>
  <c r="BM5" i="13"/>
  <c r="BI5" i="13"/>
  <c r="BN5" i="13"/>
  <c r="AV5" i="13"/>
  <c r="BF5" i="13"/>
  <c r="BC5" i="13"/>
  <c r="BL5" i="13"/>
  <c r="BS5" i="13"/>
  <c r="BP5" i="13"/>
  <c r="BE5" i="13"/>
  <c r="B3" i="13"/>
  <c r="G29" i="13"/>
  <c r="X29" i="13"/>
  <c r="AX29" i="13"/>
  <c r="AB29" i="13"/>
  <c r="AD29" i="13"/>
  <c r="BG29" i="13"/>
  <c r="AP29" i="13"/>
  <c r="AY63" i="13"/>
  <c r="AO63" i="13"/>
  <c r="AC63" i="13"/>
  <c r="J29" i="13"/>
  <c r="U29" i="13"/>
  <c r="V29" i="13"/>
  <c r="BB29" i="13"/>
  <c r="AJ29" i="13"/>
  <c r="BC29" i="13"/>
  <c r="BE29" i="13"/>
  <c r="L29" i="13"/>
  <c r="T29" i="13"/>
  <c r="AC29" i="13"/>
  <c r="AI29" i="13"/>
  <c r="BA29" i="13"/>
  <c r="AZ29" i="13"/>
  <c r="H29" i="13"/>
  <c r="N29" i="13"/>
  <c r="I29" i="13"/>
  <c r="AV29" i="13"/>
  <c r="AN29" i="13"/>
  <c r="AO29" i="13"/>
  <c r="AG29" i="13"/>
  <c r="AZ63" i="13"/>
  <c r="AD63" i="13"/>
  <c r="AT63" i="13"/>
  <c r="AL63" i="13"/>
  <c r="BG63" i="13"/>
  <c r="AJ63" i="13"/>
  <c r="AV63" i="13"/>
  <c r="AR63" i="13"/>
  <c r="AK63" i="13"/>
  <c r="AW63" i="13"/>
  <c r="AX63" i="13"/>
  <c r="BC63" i="13"/>
  <c r="AN63" i="13"/>
  <c r="BD63" i="13"/>
  <c r="P29" i="13"/>
  <c r="O29" i="13"/>
  <c r="S29" i="13"/>
  <c r="AF29" i="13"/>
  <c r="AU29" i="13"/>
  <c r="AL29" i="13"/>
  <c r="BH29" i="13"/>
  <c r="AA63" i="13"/>
  <c r="BB63" i="13"/>
  <c r="F29" i="13"/>
  <c r="R29" i="13"/>
  <c r="AS29" i="13"/>
  <c r="Z29" i="13"/>
  <c r="AM29" i="13"/>
  <c r="AK29" i="13"/>
  <c r="AE29" i="13"/>
  <c r="AI63" i="13"/>
  <c r="W29" i="13"/>
  <c r="Y29" i="13"/>
  <c r="K29" i="13"/>
  <c r="BD29" i="13"/>
  <c r="AW29" i="13"/>
  <c r="AA29" i="13"/>
  <c r="AT29" i="13"/>
  <c r="BH63" i="13"/>
  <c r="AS63" i="13"/>
  <c r="AF63" i="13"/>
  <c r="AP63" i="13"/>
  <c r="BF63" i="13"/>
  <c r="AE63" i="13"/>
  <c r="AG63" i="13"/>
  <c r="BE63" i="13"/>
  <c r="M29" i="13"/>
  <c r="Q29" i="13"/>
  <c r="AQ29" i="13"/>
  <c r="BF29" i="13"/>
  <c r="AH29" i="13"/>
  <c r="AR29" i="13"/>
  <c r="AY29" i="13"/>
  <c r="BA63" i="13"/>
  <c r="AU63" i="13"/>
  <c r="AQ63" i="13"/>
  <c r="AB63" i="13"/>
  <c r="AH63" i="13"/>
  <c r="AM63" i="13"/>
  <c r="Z63" i="13"/>
  <c r="CS44" i="13"/>
  <c r="CN44" i="13"/>
  <c r="BX44" i="13"/>
  <c r="BX61" i="13"/>
  <c r="CD44" i="13"/>
  <c r="CD61" i="13"/>
  <c r="CM44" i="13"/>
  <c r="CT44" i="13"/>
  <c r="BY44" i="13"/>
  <c r="BY61" i="13"/>
  <c r="BO44" i="13"/>
  <c r="BO61" i="13"/>
  <c r="CG44" i="13"/>
  <c r="CG61" i="13"/>
  <c r="CI44" i="13"/>
  <c r="BK44" i="13"/>
  <c r="BK61" i="13"/>
  <c r="CN61" i="13"/>
  <c r="BU61" i="13"/>
  <c r="CK44" i="13"/>
  <c r="BR44" i="13"/>
  <c r="BR61" i="13"/>
  <c r="BV44" i="13"/>
  <c r="BV61" i="13"/>
  <c r="CC44" i="13"/>
  <c r="CC61" i="13"/>
  <c r="CK27" i="13"/>
  <c r="CI61" i="13"/>
  <c r="CR27" i="13"/>
  <c r="BI44" i="13"/>
  <c r="CJ27" i="13"/>
  <c r="CN27" i="13"/>
  <c r="CK61" i="13"/>
  <c r="CJ44" i="13"/>
  <c r="CO44" i="13"/>
  <c r="CP44" i="13"/>
  <c r="CB44" i="13"/>
  <c r="CB61" i="13"/>
  <c r="CE44" i="13"/>
  <c r="CE61" i="13"/>
  <c r="CO27" i="13"/>
  <c r="CQ44" i="13"/>
  <c r="CQ61" i="13"/>
  <c r="CQ27" i="13"/>
  <c r="BL44" i="13"/>
  <c r="BL61" i="13"/>
  <c r="CP27" i="13"/>
  <c r="BN44" i="13"/>
  <c r="BN61" i="13"/>
  <c r="CF44" i="13"/>
  <c r="CF61" i="13"/>
  <c r="CM27" i="13"/>
  <c r="CL27" i="13"/>
  <c r="BT44" i="13"/>
  <c r="BT61" i="13"/>
  <c r="CV44" i="13"/>
  <c r="BM44" i="13"/>
  <c r="BM61" i="13"/>
  <c r="CU27" i="13"/>
  <c r="CH27" i="13"/>
  <c r="CI27" i="13"/>
  <c r="BW44" i="13"/>
  <c r="BW61" i="13"/>
  <c r="CV27" i="13"/>
  <c r="CM61" i="13"/>
  <c r="CT61" i="13"/>
  <c r="BS44" i="13"/>
  <c r="BS61" i="13"/>
  <c r="CL44" i="13"/>
  <c r="CL61" i="13"/>
  <c r="BP44" i="13"/>
  <c r="BP61" i="13"/>
  <c r="CU44" i="13"/>
  <c r="CU61" i="13"/>
  <c r="CA44" i="13"/>
  <c r="CA61" i="13"/>
  <c r="CT27" i="13"/>
  <c r="CR61" i="13"/>
  <c r="CH44" i="13"/>
  <c r="CS61" i="13"/>
  <c r="CJ61" i="13"/>
  <c r="CO61" i="13"/>
  <c r="CP61" i="13"/>
  <c r="CV61" i="13"/>
  <c r="BQ44" i="13"/>
  <c r="BQ61" i="13"/>
  <c r="BJ44" i="13"/>
  <c r="BJ61" i="13"/>
  <c r="BZ44" i="13"/>
  <c r="BZ61" i="13"/>
  <c r="CS27" i="13"/>
  <c r="CH61" i="13"/>
  <c r="BX9" i="13"/>
  <c r="CH9" i="13"/>
  <c r="CO9" i="13"/>
  <c r="CA9" i="13"/>
  <c r="CE9" i="13"/>
  <c r="CM9" i="13"/>
  <c r="CB9" i="13"/>
  <c r="CP9" i="13"/>
  <c r="CD9" i="13"/>
  <c r="CL9" i="13"/>
  <c r="BW9" i="13"/>
  <c r="CF9" i="13"/>
  <c r="CG9" i="13"/>
  <c r="CN9" i="13"/>
  <c r="CJ9" i="13"/>
  <c r="BZ9" i="13"/>
  <c r="CC9" i="13"/>
  <c r="CI9" i="13"/>
  <c r="BY9" i="13"/>
  <c r="CK9" i="13"/>
  <c r="BX12" i="13"/>
  <c r="CN12" i="13"/>
  <c r="CJ12" i="13"/>
  <c r="CK12" i="13"/>
  <c r="CL12" i="13"/>
  <c r="CF12" i="13"/>
  <c r="CO12" i="13"/>
  <c r="BW12" i="13"/>
  <c r="CA12" i="13"/>
  <c r="CM12" i="13"/>
  <c r="CD12" i="13"/>
  <c r="BZ12" i="13"/>
  <c r="CC12" i="13"/>
  <c r="CE12" i="13"/>
  <c r="CG12" i="13"/>
  <c r="CI12" i="13"/>
  <c r="CH12" i="13"/>
  <c r="CP12" i="13"/>
  <c r="CB12" i="13"/>
  <c r="BY12" i="13"/>
  <c r="CV71" i="13"/>
  <c r="CM71" i="13"/>
  <c r="CE54" i="13"/>
  <c r="CB54" i="13"/>
  <c r="CI37" i="13"/>
  <c r="CS37" i="13"/>
  <c r="CH37" i="13"/>
  <c r="CU37" i="13"/>
  <c r="CO37" i="13"/>
  <c r="CN37" i="13"/>
  <c r="BV54" i="13"/>
  <c r="BR54" i="13"/>
  <c r="CG54" i="13"/>
  <c r="BM54" i="13"/>
  <c r="BO54" i="13"/>
  <c r="BK54" i="13"/>
  <c r="BQ54" i="13"/>
  <c r="BI54" i="13"/>
  <c r="CF54" i="13"/>
  <c r="BT54" i="13"/>
  <c r="CI71" i="13"/>
  <c r="CP71" i="13"/>
  <c r="CO71" i="13"/>
  <c r="CN71" i="13"/>
  <c r="CT71" i="13"/>
  <c r="CQ71" i="13"/>
  <c r="CR71" i="13"/>
  <c r="CT37" i="13"/>
  <c r="CJ37" i="13"/>
  <c r="BS54" i="13"/>
  <c r="CR37" i="13"/>
  <c r="CM37" i="13"/>
  <c r="BY54" i="13"/>
  <c r="BW54" i="13"/>
  <c r="BX54" i="13"/>
  <c r="BP54" i="13"/>
  <c r="CL71" i="13"/>
  <c r="BJ54" i="13"/>
  <c r="CD54" i="13"/>
  <c r="BL54" i="13"/>
  <c r="BN54" i="13"/>
  <c r="CS71" i="13"/>
  <c r="CK71" i="13"/>
  <c r="CA54" i="13"/>
  <c r="CV37" i="13"/>
  <c r="CC54" i="13"/>
  <c r="CJ71" i="13"/>
  <c r="CL37" i="13"/>
  <c r="CK37" i="13"/>
  <c r="BZ54" i="13"/>
  <c r="CP37" i="13"/>
  <c r="CH71" i="13"/>
  <c r="CQ37" i="13"/>
  <c r="CU71" i="13"/>
  <c r="CO50" i="13"/>
  <c r="CL50" i="13"/>
  <c r="CY33" i="13"/>
  <c r="CI50" i="13"/>
  <c r="CM50" i="13"/>
  <c r="CT50" i="13"/>
  <c r="CW67" i="13"/>
  <c r="CY67" i="13"/>
  <c r="CV50" i="13"/>
  <c r="CN50" i="13"/>
  <c r="DA33" i="13"/>
  <c r="CH50" i="13"/>
  <c r="CW33" i="13"/>
  <c r="CU50" i="13"/>
  <c r="CX67" i="13"/>
  <c r="CP50" i="13"/>
  <c r="CX33" i="13"/>
  <c r="CZ33" i="13"/>
  <c r="CZ67" i="13"/>
  <c r="CS50" i="13"/>
  <c r="CQ50" i="13"/>
  <c r="CK50" i="13"/>
  <c r="CJ50" i="13"/>
  <c r="DA67" i="13"/>
  <c r="BF9" i="13"/>
  <c r="BK9" i="13"/>
  <c r="BI9" i="13"/>
  <c r="BO9" i="13"/>
  <c r="BT9" i="13"/>
  <c r="BL9" i="13"/>
  <c r="AU9" i="13"/>
  <c r="AT9" i="13"/>
  <c r="BU9" i="13"/>
  <c r="BE9" i="13"/>
  <c r="BG9" i="13"/>
  <c r="AZ9" i="13"/>
  <c r="AS9" i="13"/>
  <c r="BV9" i="13"/>
  <c r="AV9" i="13"/>
  <c r="BD9" i="13"/>
  <c r="BC9" i="13"/>
  <c r="BH9" i="13"/>
  <c r="BS9" i="13"/>
  <c r="BQ9" i="13"/>
  <c r="BM9" i="13"/>
  <c r="BA9" i="13"/>
  <c r="BN9" i="13"/>
  <c r="BP9" i="13"/>
  <c r="AW9" i="13"/>
  <c r="AY9" i="13"/>
  <c r="AX9" i="13"/>
  <c r="BR9" i="13"/>
  <c r="BJ9" i="13"/>
  <c r="BB9" i="13"/>
  <c r="BK34" i="13"/>
  <c r="BO34" i="13"/>
  <c r="BK68" i="13"/>
  <c r="CG34" i="13"/>
  <c r="AC51" i="13"/>
  <c r="AI51" i="13"/>
  <c r="AJ51" i="13"/>
  <c r="AT51" i="13"/>
  <c r="BN34" i="13"/>
  <c r="CD34" i="13"/>
  <c r="AG51" i="13"/>
  <c r="BG51" i="13"/>
  <c r="AK51" i="13"/>
  <c r="BA51" i="13"/>
  <c r="AS51" i="13"/>
  <c r="BD51" i="13"/>
  <c r="CE34" i="13"/>
  <c r="BU34" i="13"/>
  <c r="AX51" i="13"/>
  <c r="AU51" i="13"/>
  <c r="BP34" i="13"/>
  <c r="BR34" i="13"/>
  <c r="BY68" i="13"/>
  <c r="CA68" i="13"/>
  <c r="CB34" i="13"/>
  <c r="BB51" i="13"/>
  <c r="BH51" i="13"/>
  <c r="AF51" i="13"/>
  <c r="AB51" i="13"/>
  <c r="AZ51" i="13"/>
  <c r="CC34" i="13"/>
  <c r="BS34" i="13"/>
  <c r="CA34" i="13"/>
  <c r="BQ34" i="13"/>
  <c r="BI68" i="13"/>
  <c r="CF68" i="13"/>
  <c r="CF34" i="13"/>
  <c r="AQ51" i="13"/>
  <c r="AV51" i="13"/>
  <c r="AM51" i="13"/>
  <c r="AR51" i="13"/>
  <c r="BX34" i="13"/>
  <c r="BL34" i="13"/>
  <c r="BJ34" i="13"/>
  <c r="Z51" i="13"/>
  <c r="BT68" i="13"/>
  <c r="BN68" i="13"/>
  <c r="CE68" i="13"/>
  <c r="BR68" i="13"/>
  <c r="CB68" i="13"/>
  <c r="BJ68" i="13"/>
  <c r="BO68" i="13"/>
  <c r="BM68" i="13"/>
  <c r="BP68" i="13"/>
  <c r="CD68" i="13"/>
  <c r="BV34" i="13"/>
  <c r="BZ68" i="13"/>
  <c r="BM34" i="13"/>
  <c r="BE51" i="13"/>
  <c r="AW51" i="13"/>
  <c r="AH51" i="13"/>
  <c r="BF51" i="13"/>
  <c r="BW34" i="13"/>
  <c r="BT34" i="13"/>
  <c r="BZ34" i="13"/>
  <c r="BI34" i="13"/>
  <c r="AL51" i="13"/>
  <c r="AY51" i="13"/>
  <c r="AA51" i="13"/>
  <c r="AN51" i="13"/>
  <c r="AE51" i="13"/>
  <c r="AP51" i="13"/>
  <c r="BC51" i="13"/>
  <c r="BS68" i="13"/>
  <c r="BV68" i="13"/>
  <c r="BW68" i="13"/>
  <c r="CC68" i="13"/>
  <c r="BU68" i="13"/>
  <c r="CG68" i="13"/>
  <c r="BX68" i="13"/>
  <c r="BL68" i="13"/>
  <c r="BQ68" i="13"/>
  <c r="BY34" i="13"/>
  <c r="AO51" i="13"/>
  <c r="AZ54" i="13"/>
  <c r="AF54" i="13"/>
  <c r="BW37" i="13"/>
  <c r="BQ37" i="13"/>
  <c r="AY54" i="13"/>
  <c r="BO37" i="13"/>
  <c r="BY71" i="13"/>
  <c r="BW71" i="13"/>
  <c r="BX71" i="13"/>
  <c r="BL71" i="13"/>
  <c r="AT54" i="13"/>
  <c r="AX54" i="13"/>
  <c r="Z54" i="13"/>
  <c r="BC54" i="13"/>
  <c r="BN37" i="13"/>
  <c r="BJ37" i="13"/>
  <c r="BG54" i="13"/>
  <c r="BU37" i="13"/>
  <c r="CA71" i="13"/>
  <c r="AW54" i="13"/>
  <c r="BT37" i="13"/>
  <c r="CF37" i="13"/>
  <c r="BD54" i="13"/>
  <c r="AO54" i="13"/>
  <c r="AA54" i="13"/>
  <c r="BE54" i="13"/>
  <c r="BH54" i="13"/>
  <c r="BK37" i="13"/>
  <c r="BS71" i="13"/>
  <c r="CE71" i="13"/>
  <c r="BS37" i="13"/>
  <c r="AS54" i="13"/>
  <c r="CB37" i="13"/>
  <c r="CA37" i="13"/>
  <c r="BA54" i="13"/>
  <c r="BL37" i="13"/>
  <c r="AP54" i="13"/>
  <c r="BM37" i="13"/>
  <c r="BV71" i="13"/>
  <c r="BR71" i="13"/>
  <c r="CG71" i="13"/>
  <c r="BM71" i="13"/>
  <c r="BO71" i="13"/>
  <c r="BK71" i="13"/>
  <c r="BQ71" i="13"/>
  <c r="CF71" i="13"/>
  <c r="BV37" i="13"/>
  <c r="AU54" i="13"/>
  <c r="AC54" i="13"/>
  <c r="AM54" i="13"/>
  <c r="BY37" i="13"/>
  <c r="AE54" i="13"/>
  <c r="AH54" i="13"/>
  <c r="AG54" i="13"/>
  <c r="CE37" i="13"/>
  <c r="BP37" i="13"/>
  <c r="CC71" i="13"/>
  <c r="CD71" i="13"/>
  <c r="BN71" i="13"/>
  <c r="BZ37" i="13"/>
  <c r="AN54" i="13"/>
  <c r="AI54" i="13"/>
  <c r="CG37" i="13"/>
  <c r="AL54" i="13"/>
  <c r="BF54" i="13"/>
  <c r="CC37" i="13"/>
  <c r="BB54" i="13"/>
  <c r="AQ54" i="13"/>
  <c r="BX37" i="13"/>
  <c r="CD37" i="13"/>
  <c r="CB71" i="13"/>
  <c r="BP71" i="13"/>
  <c r="BZ71" i="13"/>
  <c r="BU71" i="13"/>
  <c r="BT71" i="13"/>
  <c r="AR54" i="13"/>
  <c r="AK54" i="13"/>
  <c r="BR37" i="13"/>
  <c r="AJ54" i="13"/>
  <c r="AV54" i="13"/>
  <c r="AB54" i="13"/>
  <c r="BI37" i="13"/>
  <c r="BJ71" i="13"/>
  <c r="BI71" i="13"/>
  <c r="AZ6" i="13"/>
  <c r="AS6" i="13"/>
  <c r="AX6" i="13"/>
  <c r="BU6" i="13"/>
  <c r="BN6" i="13"/>
  <c r="BP6" i="13"/>
  <c r="BH6" i="13"/>
  <c r="BI6" i="13"/>
  <c r="BO6" i="13"/>
  <c r="AV6" i="13"/>
  <c r="BJ6" i="13"/>
  <c r="AW6" i="13"/>
  <c r="AT6" i="13"/>
  <c r="BT6" i="13"/>
  <c r="BC6" i="13"/>
  <c r="BE6" i="13"/>
  <c r="AY6" i="13"/>
  <c r="BB6" i="13"/>
  <c r="BG6" i="13"/>
  <c r="BQ6" i="13"/>
  <c r="BV6" i="13"/>
  <c r="AU6" i="13"/>
  <c r="BK6" i="13"/>
  <c r="BD6" i="13"/>
  <c r="BA6" i="13"/>
  <c r="BS6" i="13"/>
  <c r="BR6" i="13"/>
  <c r="BF6" i="13"/>
  <c r="BM6" i="13"/>
  <c r="BL6" i="13"/>
  <c r="I26" i="13"/>
  <c r="V26" i="13"/>
  <c r="AD26" i="13"/>
  <c r="AT26" i="13"/>
  <c r="AG26" i="13"/>
  <c r="AI26" i="13"/>
  <c r="AP26" i="13"/>
  <c r="O26" i="13"/>
  <c r="W26" i="13"/>
  <c r="AA26" i="13"/>
  <c r="BH26" i="13"/>
  <c r="AL26" i="13"/>
  <c r="AS26" i="13"/>
  <c r="H26" i="13"/>
  <c r="G26" i="13"/>
  <c r="R26" i="13"/>
  <c r="AK26" i="13"/>
  <c r="BF26" i="13"/>
  <c r="BD26" i="13"/>
  <c r="AH26" i="13"/>
  <c r="T26" i="13"/>
  <c r="U26" i="13"/>
  <c r="Q26" i="13"/>
  <c r="AC26" i="13"/>
  <c r="AX26" i="13"/>
  <c r="BB26" i="13"/>
  <c r="AW26" i="13"/>
  <c r="X26" i="13"/>
  <c r="M26" i="13"/>
  <c r="P26" i="13"/>
  <c r="AR26" i="13"/>
  <c r="AQ26" i="13"/>
  <c r="AV26" i="13"/>
  <c r="Z26" i="13"/>
  <c r="L26" i="13"/>
  <c r="N26" i="13"/>
  <c r="F26" i="13"/>
  <c r="BC26" i="13"/>
  <c r="AE26" i="13"/>
  <c r="BA26" i="13"/>
  <c r="AY26" i="13"/>
  <c r="Y26" i="13"/>
  <c r="J26" i="13"/>
  <c r="BG26" i="13"/>
  <c r="AF26" i="13"/>
  <c r="AJ26" i="13"/>
  <c r="AM26" i="13"/>
  <c r="S26" i="13"/>
  <c r="K26" i="13"/>
  <c r="AB26" i="13"/>
  <c r="BE26" i="13"/>
  <c r="AO26" i="13"/>
  <c r="AU26" i="13"/>
  <c r="AZ26" i="13"/>
  <c r="AN26" i="13"/>
  <c r="V30" i="13"/>
  <c r="S30" i="13"/>
  <c r="M30" i="13"/>
  <c r="L30" i="13"/>
  <c r="K30" i="13"/>
  <c r="Z30" i="13"/>
  <c r="BF30" i="13"/>
  <c r="AI30" i="13"/>
  <c r="AV30" i="13"/>
  <c r="P30" i="13"/>
  <c r="Y30" i="13"/>
  <c r="I30" i="13"/>
  <c r="T30" i="13"/>
  <c r="AG30" i="13"/>
  <c r="AF30" i="13"/>
  <c r="BD30" i="13"/>
  <c r="AW30" i="13"/>
  <c r="AS30" i="13"/>
  <c r="BH30" i="13"/>
  <c r="AB30" i="13"/>
  <c r="X30" i="13"/>
  <c r="R30" i="13"/>
  <c r="H30" i="13"/>
  <c r="O30" i="13"/>
  <c r="G30" i="13"/>
  <c r="BA30" i="13"/>
  <c r="AX30" i="13"/>
  <c r="AY30" i="13"/>
  <c r="AP30" i="13"/>
  <c r="BC30" i="13"/>
  <c r="N30" i="13"/>
  <c r="U30" i="13"/>
  <c r="W30" i="13"/>
  <c r="Q30" i="13"/>
  <c r="J30" i="13"/>
  <c r="F30" i="13"/>
  <c r="AH30" i="13"/>
  <c r="AC30" i="13"/>
  <c r="AO30" i="13"/>
  <c r="AQ30" i="13"/>
  <c r="AM30" i="13"/>
  <c r="AJ30" i="13"/>
  <c r="AZ30" i="13"/>
  <c r="AA30" i="13"/>
  <c r="AN30" i="13"/>
  <c r="BB30" i="13"/>
  <c r="BG30" i="13"/>
  <c r="AK30" i="13"/>
  <c r="BE30" i="13"/>
  <c r="AT30" i="13"/>
  <c r="AE30" i="13"/>
  <c r="AR30" i="13"/>
  <c r="AD30" i="13"/>
  <c r="AL30" i="13"/>
  <c r="AU30" i="13"/>
  <c r="W11" i="13"/>
  <c r="W67" i="13"/>
  <c r="L11" i="13"/>
  <c r="L67" i="13"/>
  <c r="U11" i="13"/>
  <c r="U67" i="13"/>
  <c r="AP11" i="13"/>
  <c r="J11" i="13"/>
  <c r="J67" i="13"/>
  <c r="Y11" i="13"/>
  <c r="Y67" i="13"/>
  <c r="AJ11" i="13"/>
  <c r="S11" i="13"/>
  <c r="S67" i="13"/>
  <c r="M11" i="13"/>
  <c r="M67" i="13"/>
  <c r="AL11" i="13"/>
  <c r="T11" i="13"/>
  <c r="T67" i="13"/>
  <c r="O11" i="13"/>
  <c r="O67" i="13"/>
  <c r="AC11" i="13"/>
  <c r="AN11" i="13"/>
  <c r="AF11" i="13"/>
  <c r="I11" i="13"/>
  <c r="I67" i="13"/>
  <c r="Q11" i="13"/>
  <c r="Q67" i="13"/>
  <c r="R11" i="13"/>
  <c r="R67" i="13"/>
  <c r="Z11" i="13"/>
  <c r="AM11" i="13"/>
  <c r="AD11" i="13"/>
  <c r="AB11" i="13"/>
  <c r="AK11" i="13"/>
  <c r="AR11" i="13"/>
  <c r="AQ11" i="13"/>
  <c r="P11" i="13"/>
  <c r="P67" i="13"/>
  <c r="AO11" i="13"/>
  <c r="V11" i="13"/>
  <c r="V67" i="13"/>
  <c r="F11" i="13"/>
  <c r="F67" i="13"/>
  <c r="G11" i="13"/>
  <c r="G67" i="13"/>
  <c r="AG11" i="13"/>
  <c r="K11" i="13"/>
  <c r="K67" i="13"/>
  <c r="AH11" i="13"/>
  <c r="X11" i="13"/>
  <c r="X67" i="13"/>
  <c r="H11" i="13"/>
  <c r="H67" i="13"/>
  <c r="AA11" i="13"/>
  <c r="AI11" i="13"/>
  <c r="N11" i="13"/>
  <c r="N67" i="13"/>
  <c r="AE11" i="13"/>
  <c r="Y36" i="13"/>
  <c r="N36" i="13"/>
  <c r="R36" i="13"/>
  <c r="X36" i="13"/>
  <c r="S36" i="13"/>
  <c r="T36" i="13"/>
  <c r="K36" i="13"/>
  <c r="V36" i="13"/>
  <c r="H36" i="13"/>
  <c r="U36" i="13"/>
  <c r="P36" i="13"/>
  <c r="W36" i="13"/>
  <c r="M36" i="13"/>
  <c r="O36" i="13"/>
  <c r="I36" i="13"/>
  <c r="F36" i="13"/>
  <c r="Q36" i="13"/>
  <c r="L36" i="13"/>
  <c r="G36" i="13"/>
  <c r="J36" i="13"/>
  <c r="AY70" i="13"/>
  <c r="AH70" i="13"/>
  <c r="AL70" i="13"/>
  <c r="AF70" i="13"/>
  <c r="BC70" i="13"/>
  <c r="AQ70" i="13"/>
  <c r="AI70" i="13"/>
  <c r="BF70" i="13"/>
  <c r="AB14" i="13"/>
  <c r="AB70" i="13"/>
  <c r="BE36" i="13"/>
  <c r="AI36" i="13"/>
  <c r="BA36" i="13"/>
  <c r="AL36" i="13"/>
  <c r="AD36" i="13"/>
  <c r="BF36" i="13"/>
  <c r="AT36" i="13"/>
  <c r="AR36" i="13"/>
  <c r="AM36" i="13"/>
  <c r="AG70" i="13"/>
  <c r="AD14" i="13"/>
  <c r="AD70" i="13"/>
  <c r="AJ70" i="13"/>
  <c r="AS70" i="13"/>
  <c r="AZ70" i="13"/>
  <c r="AT70" i="13"/>
  <c r="AA14" i="13"/>
  <c r="AA70" i="13"/>
  <c r="AC36" i="13"/>
  <c r="BC36" i="13"/>
  <c r="AA36" i="13"/>
  <c r="Z36" i="13"/>
  <c r="AB36" i="13"/>
  <c r="BG70" i="13"/>
  <c r="AX70" i="13"/>
  <c r="BB36" i="13"/>
  <c r="AF36" i="13"/>
  <c r="AY36" i="13"/>
  <c r="AW36" i="13"/>
  <c r="AX36" i="13"/>
  <c r="Z14" i="13"/>
  <c r="Z70" i="13"/>
  <c r="AC14" i="13"/>
  <c r="AC70" i="13"/>
  <c r="BB70" i="13"/>
  <c r="AW70" i="13"/>
  <c r="AP70" i="13"/>
  <c r="AN70" i="13"/>
  <c r="BH70" i="13"/>
  <c r="BD70" i="13"/>
  <c r="AV70" i="13"/>
  <c r="AO70" i="13"/>
  <c r="BE70" i="13"/>
  <c r="AU70" i="13"/>
  <c r="AO36" i="13"/>
  <c r="BD36" i="13"/>
  <c r="BG36" i="13"/>
  <c r="AZ36" i="13"/>
  <c r="AE36" i="13"/>
  <c r="BH36" i="13"/>
  <c r="AJ36" i="13"/>
  <c r="AP36" i="13"/>
  <c r="AM70" i="13"/>
  <c r="BA70" i="13"/>
  <c r="AR70" i="13"/>
  <c r="AK70" i="13"/>
  <c r="AV36" i="13"/>
  <c r="AK36" i="13"/>
  <c r="AU36" i="13"/>
  <c r="AH36" i="13"/>
  <c r="AS36" i="13"/>
  <c r="AE70" i="13"/>
  <c r="AN36" i="13"/>
  <c r="AQ36" i="13"/>
  <c r="AG36" i="13"/>
  <c r="CN4" i="13"/>
  <c r="BZ4" i="13"/>
  <c r="CC4" i="13"/>
  <c r="CL4" i="13"/>
  <c r="CO4" i="13"/>
  <c r="CE4" i="13"/>
  <c r="CJ4" i="13"/>
  <c r="CD4" i="13"/>
  <c r="BY4" i="13"/>
  <c r="CA4" i="13"/>
  <c r="CF4" i="13"/>
  <c r="CM4" i="13"/>
  <c r="BX4" i="13"/>
  <c r="CB4" i="13"/>
  <c r="BW4" i="13"/>
  <c r="CH4" i="13"/>
  <c r="CG4" i="13"/>
  <c r="CI4" i="13"/>
  <c r="CP4" i="13"/>
  <c r="CK4" i="13"/>
  <c r="CI8" i="13"/>
  <c r="BX8" i="13"/>
  <c r="BY8" i="13"/>
  <c r="BW8" i="13"/>
  <c r="CJ8" i="13"/>
  <c r="CF8" i="13"/>
  <c r="CL8" i="13"/>
  <c r="CP8" i="13"/>
  <c r="CH8" i="13"/>
  <c r="CE8" i="13"/>
  <c r="CB8" i="13"/>
  <c r="CD8" i="13"/>
  <c r="CK8" i="13"/>
  <c r="CO8" i="13"/>
  <c r="CN8" i="13"/>
  <c r="CA8" i="13"/>
  <c r="CM8" i="13"/>
  <c r="CG8" i="13"/>
  <c r="CC8" i="13"/>
  <c r="BZ8" i="13"/>
  <c r="CT33" i="13"/>
  <c r="CL33" i="13"/>
  <c r="CD50" i="13"/>
  <c r="CD67" i="13"/>
  <c r="BQ50" i="13"/>
  <c r="BQ67" i="13"/>
  <c r="BS50" i="13"/>
  <c r="BS67" i="13"/>
  <c r="CC50" i="13"/>
  <c r="CC67" i="13"/>
  <c r="BY50" i="13"/>
  <c r="BY67" i="13"/>
  <c r="CH33" i="13"/>
  <c r="CG50" i="13"/>
  <c r="CG67" i="13"/>
  <c r="BO50" i="13"/>
  <c r="BO67" i="13"/>
  <c r="BV50" i="13"/>
  <c r="BV67" i="13"/>
  <c r="BU67" i="13"/>
  <c r="CB50" i="13"/>
  <c r="CB67" i="13"/>
  <c r="BJ50" i="13"/>
  <c r="BJ67" i="13"/>
  <c r="BN50" i="13"/>
  <c r="BN67" i="13"/>
  <c r="CV67" i="13"/>
  <c r="CN67" i="13"/>
  <c r="CR33" i="13"/>
  <c r="BT50" i="13"/>
  <c r="BT67" i="13"/>
  <c r="CE50" i="13"/>
  <c r="CE67" i="13"/>
  <c r="BI50" i="13"/>
  <c r="CK33" i="13"/>
  <c r="CA50" i="13"/>
  <c r="CA67" i="13"/>
  <c r="BM50" i="13"/>
  <c r="BM67" i="13"/>
  <c r="CO33" i="13"/>
  <c r="BR50" i="13"/>
  <c r="BR67" i="13"/>
  <c r="BW50" i="13"/>
  <c r="BW67" i="13"/>
  <c r="CV33" i="13"/>
  <c r="CJ33" i="13"/>
  <c r="BP50" i="13"/>
  <c r="BP67" i="13"/>
  <c r="BZ50" i="13"/>
  <c r="BZ67" i="13"/>
  <c r="CP33" i="13"/>
  <c r="BL50" i="13"/>
  <c r="BL67" i="13"/>
  <c r="CT67" i="13"/>
  <c r="CS67" i="13"/>
  <c r="CS33" i="13"/>
  <c r="CN33" i="13"/>
  <c r="CQ67" i="13"/>
  <c r="CK67" i="13"/>
  <c r="CJ67" i="13"/>
  <c r="CQ33" i="13"/>
  <c r="CI33" i="13"/>
  <c r="BX50" i="13"/>
  <c r="BX67" i="13"/>
  <c r="BK50" i="13"/>
  <c r="BK67" i="13"/>
  <c r="CO67" i="13"/>
  <c r="CU67" i="13"/>
  <c r="CL67" i="13"/>
  <c r="CP67" i="13"/>
  <c r="CM67" i="13"/>
  <c r="CU33" i="13"/>
  <c r="CM33" i="13"/>
  <c r="CF50" i="13"/>
  <c r="CF67" i="13"/>
  <c r="CI67" i="13"/>
  <c r="CR67" i="13"/>
  <c r="CH67" i="13"/>
  <c r="CE14" i="13"/>
  <c r="CC14" i="13"/>
  <c r="CA14" i="13"/>
  <c r="CG14" i="13"/>
  <c r="CJ14" i="13"/>
  <c r="BX14" i="13"/>
  <c r="BW14" i="13"/>
  <c r="CK14" i="13"/>
  <c r="CM14" i="13"/>
  <c r="CB14" i="13"/>
  <c r="CP14" i="13"/>
  <c r="CI14" i="13"/>
  <c r="CH14" i="13"/>
  <c r="BY14" i="13"/>
  <c r="CN14" i="13"/>
  <c r="CO14" i="13"/>
  <c r="CL14" i="13"/>
  <c r="CF14" i="13"/>
  <c r="CD14" i="13"/>
  <c r="BZ14" i="13"/>
  <c r="C3" i="13"/>
  <c r="BU10" i="13"/>
  <c r="BS10" i="13"/>
  <c r="BD10" i="13"/>
  <c r="AY10" i="13"/>
  <c r="BE10" i="13"/>
  <c r="BC10" i="13"/>
  <c r="AS10" i="13"/>
  <c r="BA10" i="13"/>
  <c r="BJ10" i="13"/>
  <c r="BF10" i="13"/>
  <c r="AT10" i="13"/>
  <c r="BG10" i="13"/>
  <c r="BQ10" i="13"/>
  <c r="BL10" i="13"/>
  <c r="BM10" i="13"/>
  <c r="AW10" i="13"/>
  <c r="BI10" i="13"/>
  <c r="BP10" i="13"/>
  <c r="BH10" i="13"/>
  <c r="BN10" i="13"/>
  <c r="BO10" i="13"/>
  <c r="BT10" i="13"/>
  <c r="AX10" i="13"/>
  <c r="BV10" i="13"/>
  <c r="BB10" i="13"/>
  <c r="BR10" i="13"/>
  <c r="AV10" i="13"/>
  <c r="AZ10" i="13"/>
  <c r="BK10" i="13"/>
  <c r="AU10" i="13"/>
  <c r="C13" i="13"/>
  <c r="R5" i="13"/>
  <c r="R61" i="13"/>
  <c r="AR5" i="13"/>
  <c r="M5" i="13"/>
  <c r="M61" i="13"/>
  <c r="F5" i="13"/>
  <c r="F61" i="13"/>
  <c r="I5" i="13"/>
  <c r="I61" i="13"/>
  <c r="AG5" i="13"/>
  <c r="AA5" i="13"/>
  <c r="AI5" i="13"/>
  <c r="AB5" i="13"/>
  <c r="W5" i="13"/>
  <c r="W61" i="13"/>
  <c r="AP5" i="13"/>
  <c r="V5" i="13"/>
  <c r="V61" i="13"/>
  <c r="P5" i="13"/>
  <c r="P61" i="13"/>
  <c r="J5" i="13"/>
  <c r="J61" i="13"/>
  <c r="Q5" i="13"/>
  <c r="Q61" i="13"/>
  <c r="Y5" i="13"/>
  <c r="Y61" i="13"/>
  <c r="L5" i="13"/>
  <c r="L61" i="13"/>
  <c r="G5" i="13"/>
  <c r="G61" i="13"/>
  <c r="AO5" i="13"/>
  <c r="AL5" i="13"/>
  <c r="U5" i="13"/>
  <c r="U61" i="13"/>
  <c r="AN5" i="13"/>
  <c r="AF5" i="13"/>
  <c r="AC5" i="13"/>
  <c r="N5" i="13"/>
  <c r="N61" i="13"/>
  <c r="AK5" i="13"/>
  <c r="H5" i="13"/>
  <c r="H61" i="13"/>
  <c r="X5" i="13"/>
  <c r="X61" i="13"/>
  <c r="T5" i="13"/>
  <c r="T61" i="13"/>
  <c r="AH5" i="13"/>
  <c r="Z5" i="13"/>
  <c r="AJ5" i="13"/>
  <c r="AD5" i="13"/>
  <c r="AQ5" i="13"/>
  <c r="O5" i="13"/>
  <c r="O61" i="13"/>
  <c r="AM5" i="13"/>
  <c r="S5" i="13"/>
  <c r="S61" i="13"/>
  <c r="K5" i="13"/>
  <c r="K61" i="13"/>
  <c r="AE5" i="13"/>
  <c r="H31" i="13"/>
  <c r="Q31" i="13"/>
  <c r="U31" i="13"/>
  <c r="Y31" i="13"/>
  <c r="T31" i="13"/>
  <c r="AT31" i="13"/>
  <c r="AW31" i="13"/>
  <c r="AX31" i="13"/>
  <c r="AE31" i="13"/>
  <c r="V31" i="13"/>
  <c r="K31" i="13"/>
  <c r="X31" i="13"/>
  <c r="I31" i="13"/>
  <c r="F31" i="13"/>
  <c r="J31" i="13"/>
  <c r="AU31" i="13"/>
  <c r="AD31" i="13"/>
  <c r="AK31" i="13"/>
  <c r="AF31" i="13"/>
  <c r="R31" i="13"/>
  <c r="O31" i="13"/>
  <c r="L31" i="13"/>
  <c r="W31" i="13"/>
  <c r="M31" i="13"/>
  <c r="AY31" i="13"/>
  <c r="AL31" i="13"/>
  <c r="Z31" i="13"/>
  <c r="AC31" i="13"/>
  <c r="AV31" i="13"/>
  <c r="P31" i="13"/>
  <c r="G31" i="13"/>
  <c r="S31" i="13"/>
  <c r="N31" i="13"/>
  <c r="AO31" i="13"/>
  <c r="BH31" i="13"/>
  <c r="AS31" i="13"/>
  <c r="AJ31" i="13"/>
  <c r="AP31" i="13"/>
  <c r="AH31" i="13"/>
  <c r="AA31" i="13"/>
  <c r="BC31" i="13"/>
  <c r="AB31" i="13"/>
  <c r="BG31" i="13"/>
  <c r="AR31" i="13"/>
  <c r="BF31" i="13"/>
  <c r="BA31" i="13"/>
  <c r="BB31" i="13"/>
  <c r="BD31" i="13"/>
  <c r="AZ31" i="13"/>
  <c r="AQ31" i="13"/>
  <c r="BE31" i="13"/>
  <c r="AI31" i="13"/>
  <c r="AN31" i="13"/>
  <c r="AM31" i="13"/>
  <c r="AG31" i="13"/>
  <c r="G34" i="13"/>
  <c r="R34" i="13"/>
  <c r="M34" i="13"/>
  <c r="V34" i="13"/>
  <c r="S34" i="13"/>
  <c r="N34" i="13"/>
  <c r="X34" i="13"/>
  <c r="Q34" i="13"/>
  <c r="I34" i="13"/>
  <c r="P34" i="13"/>
  <c r="T34" i="13"/>
  <c r="L34" i="13"/>
  <c r="J34" i="13"/>
  <c r="W34" i="13"/>
  <c r="O34" i="13"/>
  <c r="H34" i="13"/>
  <c r="F34" i="13"/>
  <c r="K34" i="13"/>
  <c r="Y34" i="13"/>
  <c r="U34" i="13"/>
  <c r="AQ68" i="13"/>
  <c r="AV68" i="13"/>
  <c r="AM68" i="13"/>
  <c r="AR68" i="13"/>
  <c r="BA34" i="13"/>
  <c r="AM34" i="13"/>
  <c r="AL34" i="13"/>
  <c r="AN34" i="13"/>
  <c r="AQ34" i="13"/>
  <c r="AX34" i="13"/>
  <c r="BE34" i="13"/>
  <c r="Z34" i="13"/>
  <c r="AC34" i="13"/>
  <c r="BE68" i="13"/>
  <c r="AW68" i="13"/>
  <c r="AH68" i="13"/>
  <c r="BF68" i="13"/>
  <c r="AS34" i="13"/>
  <c r="AY34" i="13"/>
  <c r="AZ34" i="13"/>
  <c r="AV34" i="13"/>
  <c r="AL68" i="13"/>
  <c r="AY68" i="13"/>
  <c r="AA12" i="13"/>
  <c r="AA68" i="13"/>
  <c r="AN68" i="13"/>
  <c r="AE68" i="13"/>
  <c r="AP68" i="13"/>
  <c r="BC68" i="13"/>
  <c r="AK34" i="13"/>
  <c r="AH34" i="13"/>
  <c r="AO68" i="13"/>
  <c r="AF34" i="13"/>
  <c r="Z12" i="13"/>
  <c r="Z68" i="13"/>
  <c r="BB34" i="13"/>
  <c r="AP34" i="13"/>
  <c r="BD34" i="13"/>
  <c r="AC12" i="13"/>
  <c r="AC68" i="13"/>
  <c r="AD12" i="13"/>
  <c r="AD68" i="13"/>
  <c r="AI68" i="13"/>
  <c r="AJ68" i="13"/>
  <c r="AT68" i="13"/>
  <c r="BG34" i="13"/>
  <c r="BH34" i="13"/>
  <c r="AG68" i="13"/>
  <c r="BG68" i="13"/>
  <c r="AK68" i="13"/>
  <c r="BA68" i="13"/>
  <c r="AS68" i="13"/>
  <c r="BD68" i="13"/>
  <c r="AG34" i="13"/>
  <c r="AE34" i="13"/>
  <c r="AX68" i="13"/>
  <c r="AU68" i="13"/>
  <c r="AB34" i="13"/>
  <c r="AD34" i="13"/>
  <c r="AR34" i="13"/>
  <c r="AA34" i="13"/>
  <c r="AO34" i="13"/>
  <c r="BB68" i="13"/>
  <c r="BH68" i="13"/>
  <c r="AF68" i="13"/>
  <c r="AB12" i="13"/>
  <c r="AB68" i="13"/>
  <c r="AZ68" i="13"/>
  <c r="AU34" i="13"/>
  <c r="AJ34" i="13"/>
  <c r="AT34" i="13"/>
  <c r="AW34" i="13"/>
  <c r="BF34" i="13"/>
  <c r="AI34" i="13"/>
  <c r="BC34" i="13"/>
  <c r="O15" i="13"/>
  <c r="O71" i="13"/>
  <c r="K15" i="13"/>
  <c r="K71" i="13"/>
  <c r="F15" i="13"/>
  <c r="F71" i="13"/>
  <c r="U15" i="13"/>
  <c r="U71" i="13"/>
  <c r="Y15" i="13"/>
  <c r="Y71" i="13"/>
  <c r="AP15" i="13"/>
  <c r="AE15" i="13"/>
  <c r="AB15" i="13"/>
  <c r="W15" i="13"/>
  <c r="W71" i="13"/>
  <c r="P15" i="13"/>
  <c r="P71" i="13"/>
  <c r="M15" i="13"/>
  <c r="M71" i="13"/>
  <c r="Z15" i="13"/>
  <c r="H15" i="13"/>
  <c r="H71" i="13"/>
  <c r="AF15" i="13"/>
  <c r="J15" i="13"/>
  <c r="J71" i="13"/>
  <c r="V15" i="13"/>
  <c r="V71" i="13"/>
  <c r="R15" i="13"/>
  <c r="R71" i="13"/>
  <c r="AN15" i="13"/>
  <c r="X15" i="13"/>
  <c r="X71" i="13"/>
  <c r="AA15" i="13"/>
  <c r="AL15" i="13"/>
  <c r="AG15" i="13"/>
  <c r="AD15" i="13"/>
  <c r="AI15" i="13"/>
  <c r="AR15" i="13"/>
  <c r="AH15" i="13"/>
  <c r="G15" i="13"/>
  <c r="G71" i="13"/>
  <c r="Q15" i="13"/>
  <c r="Q71" i="13"/>
  <c r="N15" i="13"/>
  <c r="N71" i="13"/>
  <c r="L15" i="13"/>
  <c r="L71" i="13"/>
  <c r="AJ15" i="13"/>
  <c r="AQ15" i="13"/>
  <c r="AK15" i="13"/>
  <c r="I15" i="13"/>
  <c r="I71" i="13"/>
  <c r="AO15" i="13"/>
  <c r="T15" i="13"/>
  <c r="T71" i="13"/>
  <c r="AM15" i="13"/>
  <c r="S15" i="13"/>
  <c r="S71" i="13"/>
  <c r="AC15" i="13"/>
  <c r="CO63" i="13"/>
  <c r="BY46" i="13"/>
  <c r="BY63" i="13"/>
  <c r="BV46" i="13"/>
  <c r="BV63" i="13"/>
  <c r="CA46" i="13"/>
  <c r="CA63" i="13"/>
  <c r="CB46" i="13"/>
  <c r="CB63" i="13"/>
  <c r="CP63" i="13"/>
  <c r="CL63" i="13"/>
  <c r="CP29" i="13"/>
  <c r="CN29" i="13"/>
  <c r="CT29" i="13"/>
  <c r="CM29" i="13"/>
  <c r="BK46" i="13"/>
  <c r="BK63" i="13"/>
  <c r="BO46" i="13"/>
  <c r="BO63" i="13"/>
  <c r="CU63" i="13"/>
  <c r="CQ29" i="13"/>
  <c r="BN46" i="13"/>
  <c r="BN63" i="13"/>
  <c r="BS46" i="13"/>
  <c r="BS63" i="13"/>
  <c r="CF46" i="13"/>
  <c r="CF63" i="13"/>
  <c r="CC46" i="13"/>
  <c r="CC63" i="13"/>
  <c r="CE46" i="13"/>
  <c r="CE63" i="13"/>
  <c r="BT46" i="13"/>
  <c r="BT63" i="13"/>
  <c r="BM46" i="13"/>
  <c r="BM63" i="13"/>
  <c r="CL29" i="13"/>
  <c r="CH29" i="13"/>
  <c r="BP46" i="13"/>
  <c r="BP63" i="13"/>
  <c r="BU63" i="13"/>
  <c r="BL46" i="13"/>
  <c r="BL63" i="13"/>
  <c r="CK63" i="13"/>
  <c r="CI29" i="13"/>
  <c r="CS29" i="13"/>
  <c r="BW46" i="13"/>
  <c r="BW63" i="13"/>
  <c r="BJ46" i="13"/>
  <c r="BJ63" i="13"/>
  <c r="BQ46" i="13"/>
  <c r="BQ63" i="13"/>
  <c r="CS63" i="13"/>
  <c r="CK29" i="13"/>
  <c r="CJ29" i="13"/>
  <c r="BZ46" i="13"/>
  <c r="BZ63" i="13"/>
  <c r="BR46" i="13"/>
  <c r="BR63" i="13"/>
  <c r="BI46" i="13"/>
  <c r="CJ63" i="13"/>
  <c r="CN63" i="13"/>
  <c r="CO29" i="13"/>
  <c r="CV29" i="13"/>
  <c r="CD46" i="13"/>
  <c r="CD63" i="13"/>
  <c r="CG46" i="13"/>
  <c r="CG63" i="13"/>
  <c r="BX46" i="13"/>
  <c r="BX63" i="13"/>
  <c r="CM63" i="13"/>
  <c r="CV63" i="13"/>
  <c r="CT63" i="13"/>
  <c r="CR63" i="13"/>
  <c r="CR29" i="13"/>
  <c r="CU29" i="13"/>
  <c r="CI63" i="13"/>
  <c r="CQ63" i="13"/>
  <c r="CH63" i="13"/>
  <c r="L112" i="1"/>
  <c r="I61" i="7"/>
  <c r="AH43" i="13"/>
  <c r="AH60" i="13"/>
  <c r="BF43" i="13"/>
  <c r="BF60" i="13"/>
  <c r="AO43" i="13"/>
  <c r="AO60" i="13"/>
  <c r="Z43" i="13"/>
  <c r="CG26" i="13"/>
  <c r="AQ43" i="13"/>
  <c r="AQ60" i="13"/>
  <c r="BV26" i="13"/>
  <c r="AA43" i="13"/>
  <c r="AA4" i="13"/>
  <c r="AA60" i="13"/>
  <c r="BP26" i="13"/>
  <c r="AK43" i="13"/>
  <c r="AK60" i="13"/>
  <c r="BG43" i="13"/>
  <c r="BG60" i="13"/>
  <c r="BW26" i="13"/>
  <c r="AZ43" i="13"/>
  <c r="AZ60" i="13"/>
  <c r="AP43" i="13"/>
  <c r="AP60" i="13"/>
  <c r="AN43" i="13"/>
  <c r="AN60" i="13"/>
  <c r="AU43" i="13"/>
  <c r="AU60" i="13"/>
  <c r="BU26" i="13"/>
  <c r="AC43" i="13"/>
  <c r="AC4" i="13"/>
  <c r="AC60" i="13"/>
  <c r="AX43" i="13"/>
  <c r="AX60" i="13"/>
  <c r="BQ26" i="13"/>
  <c r="BA43" i="13"/>
  <c r="BA60" i="13"/>
  <c r="BH43" i="13"/>
  <c r="BH60" i="13"/>
  <c r="BE43" i="13"/>
  <c r="BE60" i="13"/>
  <c r="AT43" i="13"/>
  <c r="AT60" i="13"/>
  <c r="AG43" i="13"/>
  <c r="AG60" i="13"/>
  <c r="BZ26" i="13"/>
  <c r="AE43" i="13"/>
  <c r="AE60" i="13"/>
  <c r="AL43" i="13"/>
  <c r="AL60" i="13"/>
  <c r="AJ43" i="13"/>
  <c r="AJ60" i="13"/>
  <c r="BJ26" i="13"/>
  <c r="CB26" i="13"/>
  <c r="AF43" i="13"/>
  <c r="AF60" i="13"/>
  <c r="BO26" i="13"/>
  <c r="BI26" i="13"/>
  <c r="AI43" i="13"/>
  <c r="AI60" i="13"/>
  <c r="AR43" i="13"/>
  <c r="AR60" i="13"/>
  <c r="CD26" i="13"/>
  <c r="CA26" i="13"/>
  <c r="AY43" i="13"/>
  <c r="AY60" i="13"/>
  <c r="AV43" i="13"/>
  <c r="AV60" i="13"/>
  <c r="CF26" i="13"/>
  <c r="BB43" i="13"/>
  <c r="BB60" i="13"/>
  <c r="AS43" i="13"/>
  <c r="AS60" i="13"/>
  <c r="AD4" i="13"/>
  <c r="AD60" i="13"/>
  <c r="BY26" i="13"/>
  <c r="AM43" i="13"/>
  <c r="AM60" i="13"/>
  <c r="CE26" i="13"/>
  <c r="BN26" i="13"/>
  <c r="CC26" i="13"/>
  <c r="AW43" i="13"/>
  <c r="AW60" i="13"/>
  <c r="BL26" i="13"/>
  <c r="BX26" i="13"/>
  <c r="BD43" i="13"/>
  <c r="BD60" i="13"/>
  <c r="AB43" i="13"/>
  <c r="AB4" i="13"/>
  <c r="AB60" i="13"/>
  <c r="BK26" i="13"/>
  <c r="BC43" i="13"/>
  <c r="BC60" i="13"/>
  <c r="BR26" i="13"/>
  <c r="BT26" i="13"/>
  <c r="BM26" i="13"/>
  <c r="BS26" i="13"/>
  <c r="AO10" i="13"/>
  <c r="I10" i="13"/>
  <c r="I66" i="13"/>
  <c r="Z10" i="13"/>
  <c r="G10" i="13"/>
  <c r="G66" i="13"/>
  <c r="H10" i="13"/>
  <c r="H66" i="13"/>
  <c r="S10" i="13"/>
  <c r="S66" i="13"/>
  <c r="AI10" i="13"/>
  <c r="R10" i="13"/>
  <c r="R66" i="13"/>
  <c r="T10" i="13"/>
  <c r="T66" i="13"/>
  <c r="Y10" i="13"/>
  <c r="Y66" i="13"/>
  <c r="AM10" i="13"/>
  <c r="U10" i="13"/>
  <c r="U66" i="13"/>
  <c r="AN10" i="13"/>
  <c r="AG10" i="13"/>
  <c r="N10" i="13"/>
  <c r="N66" i="13"/>
  <c r="X10" i="13"/>
  <c r="X66" i="13"/>
  <c r="AA10" i="13"/>
  <c r="K10" i="13"/>
  <c r="K66" i="13"/>
  <c r="Q10" i="13"/>
  <c r="Q66" i="13"/>
  <c r="W10" i="13"/>
  <c r="W66" i="13"/>
  <c r="AD10" i="13"/>
  <c r="AB10" i="13"/>
  <c r="AL10" i="13"/>
  <c r="AP10" i="13"/>
  <c r="L10" i="13"/>
  <c r="L66" i="13"/>
  <c r="AF10" i="13"/>
  <c r="O10" i="13"/>
  <c r="O66" i="13"/>
  <c r="AE10" i="13"/>
  <c r="AQ10" i="13"/>
  <c r="AC10" i="13"/>
  <c r="AH10" i="13"/>
  <c r="AK10" i="13"/>
  <c r="F10" i="13"/>
  <c r="F66" i="13"/>
  <c r="M10" i="13"/>
  <c r="M66" i="13"/>
  <c r="AR10" i="13"/>
  <c r="V10" i="13"/>
  <c r="V66" i="13"/>
  <c r="J10" i="13"/>
  <c r="J66" i="13"/>
  <c r="P10" i="13"/>
  <c r="P66" i="13"/>
  <c r="AJ10" i="13"/>
  <c r="BN45" i="13"/>
  <c r="BT45" i="13"/>
  <c r="BJ45" i="13"/>
  <c r="CG45" i="13"/>
  <c r="BP45" i="13"/>
  <c r="BM45" i="13"/>
  <c r="BS45" i="13"/>
  <c r="BW45" i="13"/>
  <c r="BV45" i="13"/>
  <c r="BQ45" i="13"/>
  <c r="BK45" i="13"/>
  <c r="BI45" i="13"/>
  <c r="CB45" i="13"/>
  <c r="BZ45" i="13"/>
  <c r="BL45" i="13"/>
  <c r="BX45" i="13"/>
  <c r="BO45" i="13"/>
  <c r="CD45" i="13"/>
  <c r="CT28" i="13"/>
  <c r="CI28" i="13"/>
  <c r="CV28" i="13"/>
  <c r="CM28" i="13"/>
  <c r="CL28" i="13"/>
  <c r="CP28" i="13"/>
  <c r="CQ28" i="13"/>
  <c r="CS28" i="13"/>
  <c r="BR45" i="13"/>
  <c r="BY45" i="13"/>
  <c r="CA45" i="13"/>
  <c r="CE45" i="13"/>
  <c r="CC45" i="13"/>
  <c r="CF45" i="13"/>
  <c r="CR28" i="13"/>
  <c r="CO28" i="13"/>
  <c r="CJ28" i="13"/>
  <c r="CH28" i="13"/>
  <c r="CU28" i="13"/>
  <c r="CN28" i="13"/>
  <c r="CK28" i="13"/>
  <c r="BJ30" i="13"/>
  <c r="AJ47" i="13"/>
  <c r="AJ64" i="13"/>
  <c r="AG47" i="13"/>
  <c r="AG64" i="13"/>
  <c r="BU30" i="13"/>
  <c r="BY30" i="13"/>
  <c r="AQ47" i="13"/>
  <c r="AQ64" i="13"/>
  <c r="BB47" i="13"/>
  <c r="BB64" i="13"/>
  <c r="CF30" i="13"/>
  <c r="BF47" i="13"/>
  <c r="BF64" i="13"/>
  <c r="AN47" i="13"/>
  <c r="AN64" i="13"/>
  <c r="AK47" i="13"/>
  <c r="AK64" i="13"/>
  <c r="AI47" i="13"/>
  <c r="AI64" i="13"/>
  <c r="AV47" i="13"/>
  <c r="AV64" i="13"/>
  <c r="BM30" i="13"/>
  <c r="CE30" i="13"/>
  <c r="BN30" i="13"/>
  <c r="AZ47" i="13"/>
  <c r="AZ64" i="13"/>
  <c r="BV30" i="13"/>
  <c r="BX30" i="13"/>
  <c r="BP30" i="13"/>
  <c r="BD47" i="13"/>
  <c r="BD64" i="13"/>
  <c r="AR47" i="13"/>
  <c r="AR64" i="13"/>
  <c r="AE47" i="13"/>
  <c r="AE64" i="13"/>
  <c r="AX47" i="13"/>
  <c r="AX64" i="13"/>
  <c r="CD30" i="13"/>
  <c r="BT30" i="13"/>
  <c r="AW47" i="13"/>
  <c r="AW64" i="13"/>
  <c r="AD8" i="13"/>
  <c r="AD64" i="13"/>
  <c r="BL30" i="13"/>
  <c r="CA30" i="13"/>
  <c r="BR30" i="13"/>
  <c r="BH47" i="13"/>
  <c r="BH64" i="13"/>
  <c r="BS30" i="13"/>
  <c r="BQ30" i="13"/>
  <c r="CG30" i="13"/>
  <c r="AF47" i="13"/>
  <c r="AF64" i="13"/>
  <c r="AC47" i="13"/>
  <c r="AC8" i="13"/>
  <c r="AC64" i="13"/>
  <c r="BW30" i="13"/>
  <c r="BK30" i="13"/>
  <c r="AT47" i="13"/>
  <c r="AT64" i="13"/>
  <c r="AA47" i="13"/>
  <c r="AA8" i="13"/>
  <c r="AA64" i="13"/>
  <c r="AO47" i="13"/>
  <c r="AO64" i="13"/>
  <c r="AM47" i="13"/>
  <c r="AM64" i="13"/>
  <c r="AS47" i="13"/>
  <c r="AS64" i="13"/>
  <c r="BI30" i="13"/>
  <c r="AU47" i="13"/>
  <c r="AU64" i="13"/>
  <c r="BE47" i="13"/>
  <c r="BE64" i="13"/>
  <c r="AB47" i="13"/>
  <c r="AB8" i="13"/>
  <c r="AB64" i="13"/>
  <c r="AL47" i="13"/>
  <c r="AL64" i="13"/>
  <c r="BG47" i="13"/>
  <c r="BG64" i="13"/>
  <c r="AH47" i="13"/>
  <c r="AH64" i="13"/>
  <c r="BC47" i="13"/>
  <c r="BC64" i="13"/>
  <c r="AY47" i="13"/>
  <c r="AY64" i="13"/>
  <c r="BZ30" i="13"/>
  <c r="AP47" i="13"/>
  <c r="AP64" i="13"/>
  <c r="BA47" i="13"/>
  <c r="BA64" i="13"/>
  <c r="Z47" i="13"/>
  <c r="BO30" i="13"/>
  <c r="CB30" i="13"/>
  <c r="CC30" i="13"/>
  <c r="I57" i="8"/>
  <c r="I63" i="8"/>
  <c r="BK31" i="13"/>
  <c r="AQ48" i="13"/>
  <c r="AQ65" i="13"/>
  <c r="BE48" i="13"/>
  <c r="BE65" i="13"/>
  <c r="CC31" i="13"/>
  <c r="BP31" i="13"/>
  <c r="BR31" i="13"/>
  <c r="BQ31" i="13"/>
  <c r="AV48" i="13"/>
  <c r="AV65" i="13"/>
  <c r="AC48" i="13"/>
  <c r="AC9" i="13"/>
  <c r="AC65" i="13"/>
  <c r="BD48" i="13"/>
  <c r="BD65" i="13"/>
  <c r="BS31" i="13"/>
  <c r="CB31" i="13"/>
  <c r="CA31" i="13"/>
  <c r="CF31" i="13"/>
  <c r="AL48" i="13"/>
  <c r="AL65" i="13"/>
  <c r="BH48" i="13"/>
  <c r="BH65" i="13"/>
  <c r="AR48" i="13"/>
  <c r="AR65" i="13"/>
  <c r="BF48" i="13"/>
  <c r="BF65" i="13"/>
  <c r="BT31" i="13"/>
  <c r="CG31" i="13"/>
  <c r="AK48" i="13"/>
  <c r="AK65" i="13"/>
  <c r="BB48" i="13"/>
  <c r="BB65" i="13"/>
  <c r="AB48" i="13"/>
  <c r="AB9" i="13"/>
  <c r="AB65" i="13"/>
  <c r="BC48" i="13"/>
  <c r="BC65" i="13"/>
  <c r="BV31" i="13"/>
  <c r="BI31" i="13"/>
  <c r="BU31" i="13"/>
  <c r="CD31" i="13"/>
  <c r="BM31" i="13"/>
  <c r="AW48" i="13"/>
  <c r="AW65" i="13"/>
  <c r="AY48" i="13"/>
  <c r="AY65" i="13"/>
  <c r="AG48" i="13"/>
  <c r="AG65" i="13"/>
  <c r="AX48" i="13"/>
  <c r="AX65" i="13"/>
  <c r="AE48" i="13"/>
  <c r="AE65" i="13"/>
  <c r="AH48" i="13"/>
  <c r="AH65" i="13"/>
  <c r="BG48" i="13"/>
  <c r="BG65" i="13"/>
  <c r="AN48" i="13"/>
  <c r="AN65" i="13"/>
  <c r="BX31" i="13"/>
  <c r="CD65" i="13"/>
  <c r="CG65" i="13"/>
  <c r="CF65" i="13"/>
  <c r="CE31" i="13"/>
  <c r="BJ31" i="13"/>
  <c r="BO31" i="13"/>
  <c r="CB65" i="13"/>
  <c r="BJ65" i="13"/>
  <c r="BO65" i="13"/>
  <c r="CE65" i="13"/>
  <c r="BI65" i="13"/>
  <c r="BY31" i="13"/>
  <c r="BN31" i="13"/>
  <c r="AF48" i="13"/>
  <c r="AF65" i="13"/>
  <c r="AT48" i="13"/>
  <c r="AT65" i="13"/>
  <c r="AI48" i="13"/>
  <c r="AI65" i="13"/>
  <c r="AO48" i="13"/>
  <c r="AO65" i="13"/>
  <c r="AZ48" i="13"/>
  <c r="AZ65" i="13"/>
  <c r="AJ48" i="13"/>
  <c r="AJ65" i="13"/>
  <c r="AP48" i="13"/>
  <c r="AP65" i="13"/>
  <c r="AD9" i="13"/>
  <c r="AD65" i="13"/>
  <c r="AM48" i="13"/>
  <c r="AM65" i="13"/>
  <c r="BW31" i="13"/>
  <c r="BP65" i="13"/>
  <c r="BQ65" i="13"/>
  <c r="BX65" i="13"/>
  <c r="BS65" i="13"/>
  <c r="BN65" i="13"/>
  <c r="BA48" i="13"/>
  <c r="BA65" i="13"/>
  <c r="AU48" i="13"/>
  <c r="AU65" i="13"/>
  <c r="AS48" i="13"/>
  <c r="AS65" i="13"/>
  <c r="AA48" i="13"/>
  <c r="AA9" i="13"/>
  <c r="AA65" i="13"/>
  <c r="Z48" i="13"/>
  <c r="BZ31" i="13"/>
  <c r="BL31" i="13"/>
  <c r="BY65" i="13"/>
  <c r="BU65" i="13"/>
  <c r="BZ65" i="13"/>
  <c r="BL65" i="13"/>
  <c r="CA65" i="13"/>
  <c r="CC65" i="13"/>
  <c r="BR65" i="13"/>
  <c r="BM65" i="13"/>
  <c r="BT65" i="13"/>
  <c r="BW65" i="13"/>
  <c r="BK65" i="13"/>
  <c r="BV65" i="13"/>
  <c r="BM12" i="13"/>
  <c r="BT12" i="13"/>
  <c r="AV12" i="13"/>
  <c r="BQ12" i="13"/>
  <c r="BF12" i="13"/>
  <c r="BC12" i="13"/>
  <c r="BG12" i="13"/>
  <c r="BN12" i="13"/>
  <c r="BI12" i="13"/>
  <c r="BU12" i="13"/>
  <c r="AY12" i="13"/>
  <c r="BL12" i="13"/>
  <c r="BK12" i="13"/>
  <c r="AT12" i="13"/>
  <c r="BS12" i="13"/>
  <c r="AX12" i="13"/>
  <c r="AZ12" i="13"/>
  <c r="BH12" i="13"/>
  <c r="BJ12" i="13"/>
  <c r="BD12" i="13"/>
  <c r="BA12" i="13"/>
  <c r="BR12" i="13"/>
  <c r="AW12" i="13"/>
  <c r="BO12" i="13"/>
  <c r="BB12" i="13"/>
  <c r="BE12" i="13"/>
  <c r="AS12" i="13"/>
  <c r="AU12" i="13"/>
  <c r="BV12" i="13"/>
  <c r="BP12" i="13"/>
  <c r="AW15" i="13"/>
  <c r="BC15" i="13"/>
  <c r="AU15" i="13"/>
  <c r="BD15" i="13"/>
  <c r="BA15" i="13"/>
  <c r="BN15" i="13"/>
  <c r="BL15" i="13"/>
  <c r="BS15" i="13"/>
  <c r="BK15" i="13"/>
  <c r="BU15" i="13"/>
  <c r="AZ15" i="13"/>
  <c r="BH15" i="13"/>
  <c r="BP15" i="13"/>
  <c r="BO15" i="13"/>
  <c r="BF15" i="13"/>
  <c r="AX15" i="13"/>
  <c r="BB15" i="13"/>
  <c r="BJ15" i="13"/>
  <c r="BR15" i="13"/>
  <c r="AY15" i="13"/>
  <c r="BE15" i="13"/>
  <c r="BI15" i="13"/>
  <c r="AV15" i="13"/>
  <c r="AT15" i="13"/>
  <c r="AS15" i="13"/>
  <c r="BM15" i="13"/>
  <c r="BV15" i="13"/>
  <c r="BQ15" i="13"/>
  <c r="BG15" i="13"/>
  <c r="BT15" i="13"/>
  <c r="BX28" i="13"/>
  <c r="BM28" i="13"/>
  <c r="AR45" i="13"/>
  <c r="AR62" i="13"/>
  <c r="AC45" i="13"/>
  <c r="AC62" i="13"/>
  <c r="AW45" i="13"/>
  <c r="AW62" i="13"/>
  <c r="AS45" i="13"/>
  <c r="AS62" i="13"/>
  <c r="BU28" i="13"/>
  <c r="AF45" i="13"/>
  <c r="AF62" i="13"/>
  <c r="AI45" i="13"/>
  <c r="AI62" i="13"/>
  <c r="AT45" i="13"/>
  <c r="AT62" i="13"/>
  <c r="BH45" i="13"/>
  <c r="BH62" i="13"/>
  <c r="BI28" i="13"/>
  <c r="BJ62" i="13"/>
  <c r="CG62" i="13"/>
  <c r="BQ28" i="13"/>
  <c r="BV28" i="13"/>
  <c r="BJ28" i="13"/>
  <c r="BY28" i="13"/>
  <c r="Z45" i="13"/>
  <c r="BR28" i="13"/>
  <c r="BB45" i="13"/>
  <c r="BB62" i="13"/>
  <c r="AB45" i="13"/>
  <c r="AB62" i="13"/>
  <c r="AH45" i="13"/>
  <c r="AH62" i="13"/>
  <c r="AZ45" i="13"/>
  <c r="AZ62" i="13"/>
  <c r="AK45" i="13"/>
  <c r="AK62" i="13"/>
  <c r="AP45" i="13"/>
  <c r="AP62" i="13"/>
  <c r="BG45" i="13"/>
  <c r="BG62" i="13"/>
  <c r="BO28" i="13"/>
  <c r="BC45" i="13"/>
  <c r="BC62" i="13"/>
  <c r="AD62" i="13"/>
  <c r="AU45" i="13"/>
  <c r="AU62" i="13"/>
  <c r="AG45" i="13"/>
  <c r="AG62" i="13"/>
  <c r="AQ45" i="13"/>
  <c r="AQ62" i="13"/>
  <c r="AE45" i="13"/>
  <c r="AE62" i="13"/>
  <c r="AN45" i="13"/>
  <c r="AN62" i="13"/>
  <c r="AX45" i="13"/>
  <c r="AX62" i="13"/>
  <c r="AL45" i="13"/>
  <c r="AL62" i="13"/>
  <c r="BE45" i="13"/>
  <c r="BE62" i="13"/>
  <c r="BW28" i="13"/>
  <c r="BN62" i="13"/>
  <c r="BT62" i="13"/>
  <c r="BU62" i="13"/>
  <c r="CA28" i="13"/>
  <c r="BP28" i="13"/>
  <c r="BT28" i="13"/>
  <c r="CD28" i="13"/>
  <c r="CF28" i="13"/>
  <c r="CE28" i="13"/>
  <c r="BZ28" i="13"/>
  <c r="CB28" i="13"/>
  <c r="BD45" i="13"/>
  <c r="BD62" i="13"/>
  <c r="AJ45" i="13"/>
  <c r="AJ62" i="13"/>
  <c r="BA45" i="13"/>
  <c r="BA62" i="13"/>
  <c r="AV45" i="13"/>
  <c r="AV62" i="13"/>
  <c r="BR62" i="13"/>
  <c r="BY62" i="13"/>
  <c r="CA62" i="13"/>
  <c r="CE62" i="13"/>
  <c r="CC62" i="13"/>
  <c r="CF62" i="13"/>
  <c r="BL28" i="13"/>
  <c r="BN28" i="13"/>
  <c r="CC28" i="13"/>
  <c r="BP62" i="13"/>
  <c r="AY45" i="13"/>
  <c r="AY62" i="13"/>
  <c r="AO45" i="13"/>
  <c r="AO62" i="13"/>
  <c r="BF45" i="13"/>
  <c r="BF62" i="13"/>
  <c r="AA45" i="13"/>
  <c r="AA62" i="13"/>
  <c r="AM45" i="13"/>
  <c r="AM62" i="13"/>
  <c r="BS28" i="13"/>
  <c r="BK28" i="13"/>
  <c r="CG28" i="13"/>
  <c r="BM62" i="13"/>
  <c r="BS62" i="13"/>
  <c r="BW62" i="13"/>
  <c r="BV62" i="13"/>
  <c r="BQ62" i="13"/>
  <c r="BK62" i="13"/>
  <c r="CB62" i="13"/>
  <c r="BZ62" i="13"/>
  <c r="BL62" i="13"/>
  <c r="BX62" i="13"/>
  <c r="BO62" i="13"/>
  <c r="CD62" i="13"/>
  <c r="BI62" i="13"/>
  <c r="G4" i="13"/>
  <c r="G60" i="13"/>
  <c r="AF4" i="13"/>
  <c r="AN4" i="13"/>
  <c r="AL4" i="13"/>
  <c r="X4" i="13"/>
  <c r="X60" i="13"/>
  <c r="F4" i="13"/>
  <c r="F60" i="13"/>
  <c r="P4" i="13"/>
  <c r="P60" i="13"/>
  <c r="AG4" i="13"/>
  <c r="AK4" i="13"/>
  <c r="J4" i="13"/>
  <c r="J60" i="13"/>
  <c r="U4" i="13"/>
  <c r="U60" i="13"/>
  <c r="T4" i="13"/>
  <c r="T60" i="13"/>
  <c r="AH4" i="13"/>
  <c r="M4" i="13"/>
  <c r="M60" i="13"/>
  <c r="Q4" i="13"/>
  <c r="Q60" i="13"/>
  <c r="AJ4" i="13"/>
  <c r="W4" i="13"/>
  <c r="W60" i="13"/>
  <c r="O4" i="13"/>
  <c r="O60" i="13"/>
  <c r="K4" i="13"/>
  <c r="K60" i="13"/>
  <c r="AQ4" i="13"/>
  <c r="V4" i="13"/>
  <c r="V60" i="13"/>
  <c r="N4" i="13"/>
  <c r="N60" i="13"/>
  <c r="R4" i="13"/>
  <c r="R60" i="13"/>
  <c r="AI4" i="13"/>
  <c r="H4" i="13"/>
  <c r="H60" i="13"/>
  <c r="S4" i="13"/>
  <c r="S60" i="13"/>
  <c r="Z4" i="13"/>
  <c r="AE4" i="13"/>
  <c r="I4" i="13"/>
  <c r="I60" i="13"/>
  <c r="AO4" i="13"/>
  <c r="AR4" i="13"/>
  <c r="Y4" i="13"/>
  <c r="Y60" i="13"/>
  <c r="L4" i="13"/>
  <c r="L60" i="13"/>
  <c r="AP4" i="13"/>
  <c r="AM4" i="13"/>
  <c r="N8" i="13"/>
  <c r="N64" i="13"/>
  <c r="T8" i="13"/>
  <c r="T64" i="13"/>
  <c r="Q8" i="13"/>
  <c r="Q64" i="13"/>
  <c r="O8" i="13"/>
  <c r="O64" i="13"/>
  <c r="AH8" i="13"/>
  <c r="AO8" i="13"/>
  <c r="AG8" i="13"/>
  <c r="I8" i="13"/>
  <c r="I64" i="13"/>
  <c r="AM8" i="13"/>
  <c r="AR8" i="13"/>
  <c r="AK8" i="13"/>
  <c r="W8" i="13"/>
  <c r="W64" i="13"/>
  <c r="AL8" i="13"/>
  <c r="S8" i="13"/>
  <c r="S64" i="13"/>
  <c r="AI8" i="13"/>
  <c r="X8" i="13"/>
  <c r="X64" i="13"/>
  <c r="V8" i="13"/>
  <c r="V64" i="13"/>
  <c r="AJ8" i="13"/>
  <c r="G8" i="13"/>
  <c r="G64" i="13"/>
  <c r="U8" i="13"/>
  <c r="U64" i="13"/>
  <c r="K8" i="13"/>
  <c r="K64" i="13"/>
  <c r="AE8" i="13"/>
  <c r="P8" i="13"/>
  <c r="P64" i="13"/>
  <c r="L8" i="13"/>
  <c r="L64" i="13"/>
  <c r="F8" i="13"/>
  <c r="F64" i="13"/>
  <c r="H8" i="13"/>
  <c r="H64" i="13"/>
  <c r="M8" i="13"/>
  <c r="M64" i="13"/>
  <c r="AF8" i="13"/>
  <c r="AN8" i="13"/>
  <c r="J8" i="13"/>
  <c r="J64" i="13"/>
  <c r="AQ8" i="13"/>
  <c r="R8" i="13"/>
  <c r="R64" i="13"/>
  <c r="Z8" i="13"/>
  <c r="Y8" i="13"/>
  <c r="Y64" i="13"/>
  <c r="AP8" i="13"/>
  <c r="S33" i="13"/>
  <c r="N33" i="13"/>
  <c r="BH33" i="13"/>
  <c r="AV33" i="13"/>
  <c r="AN33" i="13"/>
  <c r="AF33" i="13"/>
  <c r="AZ33" i="13"/>
  <c r="G33" i="13"/>
  <c r="H33" i="13"/>
  <c r="BG33" i="13"/>
  <c r="BC33" i="13"/>
  <c r="AA67" i="13"/>
  <c r="AH67" i="13"/>
  <c r="AR67" i="13"/>
  <c r="AR33" i="13"/>
  <c r="BD33" i="13"/>
  <c r="V33" i="13"/>
  <c r="R33" i="13"/>
  <c r="J33" i="13"/>
  <c r="Z33" i="13"/>
  <c r="AO33" i="13"/>
  <c r="BB33" i="13"/>
  <c r="AX33" i="13"/>
  <c r="O33" i="13"/>
  <c r="L33" i="13"/>
  <c r="I33" i="13"/>
  <c r="AE33" i="13"/>
  <c r="AH33" i="13"/>
  <c r="AZ67" i="13"/>
  <c r="AD67" i="13"/>
  <c r="BD67" i="13"/>
  <c r="AK33" i="13"/>
  <c r="AS33" i="13"/>
  <c r="T33" i="13"/>
  <c r="P33" i="13"/>
  <c r="X33" i="13"/>
  <c r="AG33" i="13"/>
  <c r="AW33" i="13"/>
  <c r="BG67" i="13"/>
  <c r="AK67" i="13"/>
  <c r="AG67" i="13"/>
  <c r="AT67" i="13"/>
  <c r="AB33" i="13"/>
  <c r="AA33" i="13"/>
  <c r="AI33" i="13"/>
  <c r="Y33" i="13"/>
  <c r="W33" i="13"/>
  <c r="AM33" i="13"/>
  <c r="AJ33" i="13"/>
  <c r="AP33" i="13"/>
  <c r="AP67" i="13"/>
  <c r="AV67" i="13"/>
  <c r="BC67" i="13"/>
  <c r="BH67" i="13"/>
  <c r="AN67" i="13"/>
  <c r="BA67" i="13"/>
  <c r="AI67" i="13"/>
  <c r="AL67" i="13"/>
  <c r="BF33" i="13"/>
  <c r="BE33" i="13"/>
  <c r="F33" i="13"/>
  <c r="U33" i="13"/>
  <c r="AC33" i="13"/>
  <c r="AY33" i="13"/>
  <c r="BF67" i="13"/>
  <c r="AM67" i="13"/>
  <c r="AO67" i="13"/>
  <c r="AC67" i="13"/>
  <c r="AJ67" i="13"/>
  <c r="AY67" i="13"/>
  <c r="AD33" i="13"/>
  <c r="AL33" i="13"/>
  <c r="M33" i="13"/>
  <c r="K33" i="13"/>
  <c r="Q33" i="13"/>
  <c r="AT33" i="13"/>
  <c r="BA33" i="13"/>
  <c r="AQ67" i="13"/>
  <c r="BE67" i="13"/>
  <c r="AB67" i="13"/>
  <c r="BB67" i="13"/>
  <c r="AU67" i="13"/>
  <c r="AE67" i="13"/>
  <c r="AX67" i="13"/>
  <c r="AW67" i="13"/>
  <c r="AF67" i="13"/>
  <c r="AS67" i="13"/>
  <c r="AU33" i="13"/>
  <c r="AQ33" i="13"/>
  <c r="Z67" i="13"/>
  <c r="M14" i="13"/>
  <c r="M70" i="13"/>
  <c r="U14" i="13"/>
  <c r="U70" i="13"/>
  <c r="F14" i="13"/>
  <c r="F70" i="13"/>
  <c r="AQ14" i="13"/>
  <c r="AK14" i="13"/>
  <c r="H14" i="13"/>
  <c r="H70" i="13"/>
  <c r="W14" i="13"/>
  <c r="W70" i="13"/>
  <c r="O14" i="13"/>
  <c r="O70" i="13"/>
  <c r="N14" i="13"/>
  <c r="N70" i="13"/>
  <c r="AP14" i="13"/>
  <c r="P14" i="13"/>
  <c r="P70" i="13"/>
  <c r="AF14" i="13"/>
  <c r="I14" i="13"/>
  <c r="I70" i="13"/>
  <c r="T14" i="13"/>
  <c r="T70" i="13"/>
  <c r="AI14" i="13"/>
  <c r="K14" i="13"/>
  <c r="K70" i="13"/>
  <c r="AE14" i="13"/>
  <c r="AO14" i="13"/>
  <c r="R14" i="13"/>
  <c r="R70" i="13"/>
  <c r="AL14" i="13"/>
  <c r="AM14" i="13"/>
  <c r="AH14" i="13"/>
  <c r="AG14" i="13"/>
  <c r="S14" i="13"/>
  <c r="S70" i="13"/>
  <c r="Q14" i="13"/>
  <c r="Q70" i="13"/>
  <c r="J14" i="13"/>
  <c r="J70" i="13"/>
  <c r="AJ14" i="13"/>
  <c r="G14" i="13"/>
  <c r="G70" i="13"/>
  <c r="Y14" i="13"/>
  <c r="Y70" i="13"/>
  <c r="X14" i="13"/>
  <c r="X70" i="13"/>
  <c r="L14" i="13"/>
  <c r="L70" i="13"/>
  <c r="V14" i="13"/>
  <c r="V70" i="13"/>
  <c r="AN14" i="13"/>
  <c r="AR14" i="13"/>
  <c r="CK43" i="13"/>
  <c r="CK60" i="13"/>
  <c r="CP43" i="13"/>
  <c r="CT43" i="13"/>
  <c r="CT60" i="13"/>
  <c r="CN43" i="13"/>
  <c r="CU26" i="13"/>
  <c r="CN26" i="13"/>
  <c r="BK43" i="13"/>
  <c r="BK60" i="13"/>
  <c r="CC43" i="13"/>
  <c r="CC60" i="13"/>
  <c r="CU43" i="13"/>
  <c r="CU60" i="13"/>
  <c r="CV43" i="13"/>
  <c r="CK26" i="13"/>
  <c r="BY43" i="13"/>
  <c r="BY60" i="13"/>
  <c r="CG43" i="13"/>
  <c r="CG60" i="13"/>
  <c r="CA43" i="13"/>
  <c r="CA60" i="13"/>
  <c r="BO43" i="13"/>
  <c r="BO60" i="13"/>
  <c r="BL43" i="13"/>
  <c r="BL60" i="13"/>
  <c r="BZ43" i="13"/>
  <c r="BZ60" i="13"/>
  <c r="CH43" i="13"/>
  <c r="CH60" i="13"/>
  <c r="CO43" i="13"/>
  <c r="CO60" i="13"/>
  <c r="CP60" i="13"/>
  <c r="CN60" i="13"/>
  <c r="CO26" i="13"/>
  <c r="CL26" i="13"/>
  <c r="BS43" i="13"/>
  <c r="BS60" i="13"/>
  <c r="BM43" i="13"/>
  <c r="BM60" i="13"/>
  <c r="CE43" i="13"/>
  <c r="CE60" i="13"/>
  <c r="BW43" i="13"/>
  <c r="BW60" i="13"/>
  <c r="CS43" i="13"/>
  <c r="CV60" i="13"/>
  <c r="CQ43" i="13"/>
  <c r="CQ60" i="13"/>
  <c r="CT26" i="13"/>
  <c r="CI26" i="13"/>
  <c r="BR43" i="13"/>
  <c r="BR60" i="13"/>
  <c r="BU60" i="13"/>
  <c r="CR60" i="13"/>
  <c r="CM43" i="13"/>
  <c r="CM26" i="13"/>
  <c r="CV26" i="13"/>
  <c r="CB43" i="13"/>
  <c r="CB60" i="13"/>
  <c r="BT43" i="13"/>
  <c r="BT60" i="13"/>
  <c r="BP43" i="13"/>
  <c r="BP60" i="13"/>
  <c r="BJ43" i="13"/>
  <c r="BJ60" i="13"/>
  <c r="CF43" i="13"/>
  <c r="CF60" i="13"/>
  <c r="BI43" i="13"/>
  <c r="BV43" i="13"/>
  <c r="BV60" i="13"/>
  <c r="CL43" i="13"/>
  <c r="CL60" i="13"/>
  <c r="CH26" i="13"/>
  <c r="CJ26" i="13"/>
  <c r="BN43" i="13"/>
  <c r="BN60" i="13"/>
  <c r="BQ43" i="13"/>
  <c r="BQ60" i="13"/>
  <c r="BX43" i="13"/>
  <c r="BX60" i="13"/>
  <c r="CM60" i="13"/>
  <c r="CS26" i="13"/>
  <c r="CQ26" i="13"/>
  <c r="CS60" i="13"/>
  <c r="CJ43" i="13"/>
  <c r="CJ60" i="13"/>
  <c r="CI43" i="13"/>
  <c r="CI60" i="13"/>
  <c r="CR26" i="13"/>
  <c r="CP26" i="13"/>
  <c r="CD43" i="13"/>
  <c r="CD60" i="13"/>
  <c r="CR30" i="13"/>
  <c r="CK30" i="13"/>
  <c r="CE47" i="13"/>
  <c r="CE64" i="13"/>
  <c r="CF47" i="13"/>
  <c r="CF64" i="13"/>
  <c r="BO47" i="13"/>
  <c r="BO64" i="13"/>
  <c r="BU64" i="13"/>
  <c r="BN47" i="13"/>
  <c r="BN64" i="13"/>
  <c r="BS47" i="13"/>
  <c r="BS64" i="13"/>
  <c r="CH30" i="13"/>
  <c r="CI30" i="13"/>
  <c r="BZ47" i="13"/>
  <c r="BZ64" i="13"/>
  <c r="CA47" i="13"/>
  <c r="CA64" i="13"/>
  <c r="BP47" i="13"/>
  <c r="BP64" i="13"/>
  <c r="BI47" i="13"/>
  <c r="CB47" i="13"/>
  <c r="CB64" i="13"/>
  <c r="CD47" i="13"/>
  <c r="CD64" i="13"/>
  <c r="BR47" i="13"/>
  <c r="BR64" i="13"/>
  <c r="CJ30" i="13"/>
  <c r="CV30" i="13"/>
  <c r="CS30" i="13"/>
  <c r="CN30" i="13"/>
  <c r="BV47" i="13"/>
  <c r="BV64" i="13"/>
  <c r="BK47" i="13"/>
  <c r="BK64" i="13"/>
  <c r="BY47" i="13"/>
  <c r="BY64" i="13"/>
  <c r="BL47" i="13"/>
  <c r="BL64" i="13"/>
  <c r="CC47" i="13"/>
  <c r="CC64" i="13"/>
  <c r="BW47" i="13"/>
  <c r="BW64" i="13"/>
  <c r="CP47" i="13"/>
  <c r="CS47" i="13"/>
  <c r="CS64" i="13"/>
  <c r="CO30" i="13"/>
  <c r="BX47" i="13"/>
  <c r="BX64" i="13"/>
  <c r="BT47" i="13"/>
  <c r="BT64" i="13"/>
  <c r="CG47" i="13"/>
  <c r="CG64" i="13"/>
  <c r="BM47" i="13"/>
  <c r="BM64" i="13"/>
  <c r="BQ47" i="13"/>
  <c r="BQ64" i="13"/>
  <c r="BJ47" i="13"/>
  <c r="BJ64" i="13"/>
  <c r="CL47" i="13"/>
  <c r="CL64" i="13"/>
  <c r="CO47" i="13"/>
  <c r="CO64" i="13"/>
  <c r="CK47" i="13"/>
  <c r="CK64" i="13"/>
  <c r="CL30" i="13"/>
  <c r="CU30" i="13"/>
  <c r="CT47" i="13"/>
  <c r="CI47" i="13"/>
  <c r="CU47" i="13"/>
  <c r="CV47" i="13"/>
  <c r="CV64" i="13"/>
  <c r="CN47" i="13"/>
  <c r="CN64" i="13"/>
  <c r="CM30" i="13"/>
  <c r="CP30" i="13"/>
  <c r="CP64" i="13"/>
  <c r="CQ47" i="13"/>
  <c r="CQ64" i="13"/>
  <c r="CT64" i="13"/>
  <c r="CI64" i="13"/>
  <c r="CU64" i="13"/>
  <c r="CJ47" i="13"/>
  <c r="CJ64" i="13"/>
  <c r="CH47" i="13"/>
  <c r="CT30" i="13"/>
  <c r="CQ30" i="13"/>
  <c r="CM47" i="13"/>
  <c r="CM64" i="13"/>
  <c r="CR64" i="13"/>
  <c r="CG11" i="13"/>
  <c r="BZ11" i="13"/>
  <c r="CK11" i="13"/>
  <c r="CP11" i="13"/>
  <c r="CN11" i="13"/>
  <c r="CH11" i="13"/>
  <c r="CE11" i="13"/>
  <c r="CO11" i="13"/>
  <c r="CJ11" i="13"/>
  <c r="CI11" i="13"/>
  <c r="CB11" i="13"/>
  <c r="CF11" i="13"/>
  <c r="CL11" i="13"/>
  <c r="BW11" i="13"/>
  <c r="CA11" i="13"/>
  <c r="CC11" i="13"/>
  <c r="CD11" i="13"/>
  <c r="BX11" i="13"/>
  <c r="CM11" i="13"/>
  <c r="BY11" i="13"/>
  <c r="CH36" i="13"/>
  <c r="CV36" i="13"/>
  <c r="CJ36" i="13"/>
  <c r="CU36" i="13"/>
  <c r="CR36" i="13"/>
  <c r="CK36" i="13"/>
  <c r="CL36" i="13"/>
  <c r="CP36" i="13"/>
  <c r="CI36" i="13"/>
  <c r="CM36" i="13"/>
  <c r="CM53" i="13"/>
  <c r="CM70" i="13"/>
  <c r="CV53" i="13"/>
  <c r="CV70" i="13"/>
  <c r="CN53" i="13"/>
  <c r="CN36" i="13"/>
  <c r="CO36" i="13"/>
  <c r="CH53" i="13"/>
  <c r="CK53" i="13"/>
  <c r="CK70" i="13"/>
  <c r="CJ53" i="13"/>
  <c r="CT53" i="13"/>
  <c r="CT70" i="13"/>
  <c r="CQ53" i="13"/>
  <c r="CR70" i="13"/>
  <c r="CS36" i="13"/>
  <c r="CQ36" i="13"/>
  <c r="CS53" i="13"/>
  <c r="CS70" i="13"/>
  <c r="CN70" i="13"/>
  <c r="CT36" i="13"/>
  <c r="CU53" i="13"/>
  <c r="CU70" i="13"/>
  <c r="CJ70" i="13"/>
  <c r="CQ70" i="13"/>
  <c r="CP53" i="13"/>
  <c r="CL53" i="13"/>
  <c r="CI53" i="13"/>
  <c r="CO53" i="13"/>
  <c r="CP70" i="13"/>
  <c r="CL70" i="13"/>
  <c r="CI70" i="13"/>
  <c r="CO70" i="13"/>
  <c r="CH70" i="13"/>
  <c r="BK53" i="13"/>
  <c r="BK70" i="13"/>
  <c r="BI53" i="13"/>
  <c r="BX53" i="13"/>
  <c r="BX70" i="13"/>
  <c r="BT53" i="13"/>
  <c r="BT70" i="13"/>
  <c r="CG53" i="13"/>
  <c r="CG70" i="13"/>
  <c r="BW53" i="13"/>
  <c r="BW70" i="13"/>
  <c r="BY53" i="13"/>
  <c r="BY70" i="13"/>
  <c r="BJ53" i="13"/>
  <c r="BJ70" i="13"/>
  <c r="CF53" i="13"/>
  <c r="CF70" i="13"/>
  <c r="BO53" i="13"/>
  <c r="BO70" i="13"/>
  <c r="BR53" i="13"/>
  <c r="BR70" i="13"/>
  <c r="CE53" i="13"/>
  <c r="CE70" i="13"/>
  <c r="BP53" i="13"/>
  <c r="BP70" i="13"/>
  <c r="BM53" i="13"/>
  <c r="BM70" i="13"/>
  <c r="BV53" i="13"/>
  <c r="BV70" i="13"/>
  <c r="BS53" i="13"/>
  <c r="BS70" i="13"/>
  <c r="CB53" i="13"/>
  <c r="CB70" i="13"/>
  <c r="BN53" i="13"/>
  <c r="BN70" i="13"/>
  <c r="CC53" i="13"/>
  <c r="CC70" i="13"/>
  <c r="BQ53" i="13"/>
  <c r="BQ70" i="13"/>
  <c r="CA53" i="13"/>
  <c r="CA70" i="13"/>
  <c r="BL53" i="13"/>
  <c r="BL70" i="13"/>
  <c r="BU70" i="13"/>
  <c r="BZ53" i="13"/>
  <c r="BZ70" i="13"/>
  <c r="CD53" i="13"/>
  <c r="CD70" i="13"/>
  <c r="CA32" i="13"/>
  <c r="BD49" i="13"/>
  <c r="BD66" i="13"/>
  <c r="AL49" i="13"/>
  <c r="AL66" i="13"/>
  <c r="AJ49" i="13"/>
  <c r="AJ66" i="13"/>
  <c r="AV49" i="13"/>
  <c r="AV66" i="13"/>
  <c r="AO49" i="13"/>
  <c r="AO66" i="13"/>
  <c r="BX66" i="13"/>
  <c r="BS32" i="13"/>
  <c r="BO32" i="13"/>
  <c r="BP66" i="13"/>
  <c r="BU32" i="13"/>
  <c r="CF32" i="13"/>
  <c r="BC49" i="13"/>
  <c r="BC66" i="13"/>
  <c r="AE49" i="13"/>
  <c r="AE66" i="13"/>
  <c r="AD66" i="13"/>
  <c r="AS49" i="13"/>
  <c r="AS66" i="13"/>
  <c r="BI32" i="13"/>
  <c r="BZ32" i="13"/>
  <c r="CC66" i="13"/>
  <c r="BJ32" i="13"/>
  <c r="BY32" i="13"/>
  <c r="Z49" i="13"/>
  <c r="AN49" i="13"/>
  <c r="AN66" i="13"/>
  <c r="AM49" i="13"/>
  <c r="AM66" i="13"/>
  <c r="AI49" i="13"/>
  <c r="AI66" i="13"/>
  <c r="BG49" i="13"/>
  <c r="BG66" i="13"/>
  <c r="BN32" i="13"/>
  <c r="CA66" i="13"/>
  <c r="CF66" i="13"/>
  <c r="BJ66" i="13"/>
  <c r="BU66" i="13"/>
  <c r="BV32" i="13"/>
  <c r="AR49" i="13"/>
  <c r="AR66" i="13"/>
  <c r="AF49" i="13"/>
  <c r="AF66" i="13"/>
  <c r="AK49" i="13"/>
  <c r="AK66" i="13"/>
  <c r="AB49" i="13"/>
  <c r="AB66" i="13"/>
  <c r="CD32" i="13"/>
  <c r="CC32" i="13"/>
  <c r="BP32" i="13"/>
  <c r="BM32" i="13"/>
  <c r="AQ49" i="13"/>
  <c r="AQ66" i="13"/>
  <c r="AZ49" i="13"/>
  <c r="AZ66" i="13"/>
  <c r="AX49" i="13"/>
  <c r="AX66" i="13"/>
  <c r="BF49" i="13"/>
  <c r="BF66" i="13"/>
  <c r="AH49" i="13"/>
  <c r="AH66" i="13"/>
  <c r="AW49" i="13"/>
  <c r="AW66" i="13"/>
  <c r="AT49" i="13"/>
  <c r="AT66" i="13"/>
  <c r="AU49" i="13"/>
  <c r="AU66" i="13"/>
  <c r="CE32" i="13"/>
  <c r="BR66" i="13"/>
  <c r="BY66" i="13"/>
  <c r="BV66" i="13"/>
  <c r="BM66" i="13"/>
  <c r="BS66" i="13"/>
  <c r="BT32" i="13"/>
  <c r="BL32" i="13"/>
  <c r="CB32" i="13"/>
  <c r="BW66" i="13"/>
  <c r="BR32" i="13"/>
  <c r="BO66" i="13"/>
  <c r="CB66" i="13"/>
  <c r="BT66" i="13"/>
  <c r="BQ32" i="13"/>
  <c r="BX32" i="13"/>
  <c r="AP49" i="13"/>
  <c r="AP66" i="13"/>
  <c r="AY49" i="13"/>
  <c r="AY66" i="13"/>
  <c r="AG49" i="13"/>
  <c r="AG66" i="13"/>
  <c r="BA49" i="13"/>
  <c r="BA66" i="13"/>
  <c r="BH49" i="13"/>
  <c r="BH66" i="13"/>
  <c r="BB49" i="13"/>
  <c r="BB66" i="13"/>
  <c r="BE49" i="13"/>
  <c r="BE66" i="13"/>
  <c r="AC49" i="13"/>
  <c r="AC66" i="13"/>
  <c r="AA49" i="13"/>
  <c r="AA66" i="13"/>
  <c r="BN66" i="13"/>
  <c r="BI66" i="13"/>
  <c r="BK66" i="13"/>
  <c r="BL66" i="13"/>
  <c r="CD66" i="13"/>
  <c r="BZ66" i="13"/>
  <c r="CG66" i="13"/>
  <c r="BQ66" i="13"/>
  <c r="BW32" i="13"/>
  <c r="CE66" i="13"/>
  <c r="CG32" i="13"/>
  <c r="BK32" i="13"/>
  <c r="AP27" i="13"/>
  <c r="I27" i="13"/>
  <c r="AS27" i="13"/>
  <c r="T27" i="13"/>
  <c r="BH27" i="13"/>
  <c r="AV27" i="13"/>
  <c r="AL27" i="13"/>
  <c r="P27" i="13"/>
  <c r="AR27" i="13"/>
  <c r="AF27" i="13"/>
  <c r="Z27" i="13"/>
  <c r="AG61" i="13"/>
  <c r="AQ27" i="13"/>
  <c r="Y27" i="13"/>
  <c r="G27" i="13"/>
  <c r="AQ61" i="13"/>
  <c r="AA61" i="13"/>
  <c r="BB61" i="13"/>
  <c r="R27" i="13"/>
  <c r="AB27" i="13"/>
  <c r="BD27" i="13"/>
  <c r="AT27" i="13"/>
  <c r="BE27" i="13"/>
  <c r="Q27" i="13"/>
  <c r="AO61" i="13"/>
  <c r="AC61" i="13"/>
  <c r="M27" i="13"/>
  <c r="BF27" i="13"/>
  <c r="AH27" i="13"/>
  <c r="AL61" i="13"/>
  <c r="AB61" i="13"/>
  <c r="AD61" i="13"/>
  <c r="BF61" i="13"/>
  <c r="AU61" i="13"/>
  <c r="AZ61" i="13"/>
  <c r="AW61" i="13"/>
  <c r="O27" i="13"/>
  <c r="AD27" i="13"/>
  <c r="U27" i="13"/>
  <c r="AJ61" i="13"/>
  <c r="BG61" i="13"/>
  <c r="AR61" i="13"/>
  <c r="AI61" i="13"/>
  <c r="AM61" i="13"/>
  <c r="AY61" i="13"/>
  <c r="AJ27" i="13"/>
  <c r="BE61" i="13"/>
  <c r="BA27" i="13"/>
  <c r="AE27" i="13"/>
  <c r="N27" i="13"/>
  <c r="AY27" i="13"/>
  <c r="S27" i="13"/>
  <c r="J27" i="13"/>
  <c r="L27" i="13"/>
  <c r="AU27" i="13"/>
  <c r="AA27" i="13"/>
  <c r="AX61" i="13"/>
  <c r="BG27" i="13"/>
  <c r="AM27" i="13"/>
  <c r="BC61" i="13"/>
  <c r="BD61" i="13"/>
  <c r="AT61" i="13"/>
  <c r="V27" i="13"/>
  <c r="AK27" i="13"/>
  <c r="AV61" i="13"/>
  <c r="BA61" i="13"/>
  <c r="AS61" i="13"/>
  <c r="BB27" i="13"/>
  <c r="H27" i="13"/>
  <c r="AW27" i="13"/>
  <c r="AZ27" i="13"/>
  <c r="K27" i="13"/>
  <c r="BH61" i="13"/>
  <c r="X27" i="13"/>
  <c r="AG27" i="13"/>
  <c r="AP61" i="13"/>
  <c r="AO27" i="13"/>
  <c r="AX27" i="13"/>
  <c r="AN27" i="13"/>
  <c r="AI27" i="13"/>
  <c r="AH61" i="13"/>
  <c r="AK61" i="13"/>
  <c r="AN61" i="13"/>
  <c r="AE61" i="13"/>
  <c r="AF61" i="13"/>
  <c r="W27" i="13"/>
  <c r="F27" i="13"/>
  <c r="BC27" i="13"/>
  <c r="AC27" i="13"/>
  <c r="Z61" i="13"/>
  <c r="AO9" i="13"/>
  <c r="N9" i="13"/>
  <c r="N65" i="13"/>
  <c r="AK9" i="13"/>
  <c r="K9" i="13"/>
  <c r="K65" i="13"/>
  <c r="AQ9" i="13"/>
  <c r="U9" i="13"/>
  <c r="U65" i="13"/>
  <c r="AE9" i="13"/>
  <c r="AF9" i="13"/>
  <c r="O9" i="13"/>
  <c r="O65" i="13"/>
  <c r="P9" i="13"/>
  <c r="P65" i="13"/>
  <c r="AH9" i="13"/>
  <c r="Z9" i="13"/>
  <c r="AJ9" i="13"/>
  <c r="V9" i="13"/>
  <c r="V65" i="13"/>
  <c r="W9" i="13"/>
  <c r="W65" i="13"/>
  <c r="I9" i="13"/>
  <c r="I65" i="13"/>
  <c r="Y9" i="13"/>
  <c r="Y65" i="13"/>
  <c r="F9" i="13"/>
  <c r="F65" i="13"/>
  <c r="X9" i="13"/>
  <c r="X65" i="13"/>
  <c r="AP9" i="13"/>
  <c r="AL9" i="13"/>
  <c r="S9" i="13"/>
  <c r="S65" i="13"/>
  <c r="J9" i="13"/>
  <c r="J65" i="13"/>
  <c r="H9" i="13"/>
  <c r="H65" i="13"/>
  <c r="G9" i="13"/>
  <c r="G65" i="13"/>
  <c r="L9" i="13"/>
  <c r="L65" i="13"/>
  <c r="R9" i="13"/>
  <c r="R65" i="13"/>
  <c r="AI9" i="13"/>
  <c r="M9" i="13"/>
  <c r="M65" i="13"/>
  <c r="T9" i="13"/>
  <c r="T65" i="13"/>
  <c r="Q9" i="13"/>
  <c r="Q65" i="13"/>
  <c r="AM9" i="13"/>
  <c r="AR9" i="13"/>
  <c r="AN9" i="13"/>
  <c r="AG9" i="13"/>
  <c r="H12" i="13"/>
  <c r="H68" i="13"/>
  <c r="J12" i="13"/>
  <c r="J68" i="13"/>
  <c r="AN12" i="13"/>
  <c r="O12" i="13"/>
  <c r="O68" i="13"/>
  <c r="AR12" i="13"/>
  <c r="AM12" i="13"/>
  <c r="V12" i="13"/>
  <c r="V68" i="13"/>
  <c r="K12" i="13"/>
  <c r="K68" i="13"/>
  <c r="R12" i="13"/>
  <c r="R68" i="13"/>
  <c r="N12" i="13"/>
  <c r="N68" i="13"/>
  <c r="Q12" i="13"/>
  <c r="Q68" i="13"/>
  <c r="AF12" i="13"/>
  <c r="L12" i="13"/>
  <c r="L68" i="13"/>
  <c r="AG12" i="13"/>
  <c r="AJ12" i="13"/>
  <c r="AH12" i="13"/>
  <c r="M12" i="13"/>
  <c r="M68" i="13"/>
  <c r="I12" i="13"/>
  <c r="I68" i="13"/>
  <c r="G12" i="13"/>
  <c r="G68" i="13"/>
  <c r="AP12" i="13"/>
  <c r="AQ12" i="13"/>
  <c r="AL12" i="13"/>
  <c r="AI12" i="13"/>
  <c r="AE12" i="13"/>
  <c r="S12" i="13"/>
  <c r="S68" i="13"/>
  <c r="U12" i="13"/>
  <c r="U68" i="13"/>
  <c r="AK12" i="13"/>
  <c r="F12" i="13"/>
  <c r="F68" i="13"/>
  <c r="X12" i="13"/>
  <c r="X68" i="13"/>
  <c r="AO12" i="13"/>
  <c r="W12" i="13"/>
  <c r="W68" i="13"/>
  <c r="T12" i="13"/>
  <c r="T68" i="13"/>
  <c r="Y12" i="13"/>
  <c r="Y68" i="13"/>
  <c r="P12" i="13"/>
  <c r="P68" i="13"/>
  <c r="Y37" i="13"/>
  <c r="BE37" i="13"/>
  <c r="I37" i="13"/>
  <c r="BA37" i="13"/>
  <c r="J37" i="13"/>
  <c r="AX37" i="13"/>
  <c r="AL37" i="13"/>
  <c r="AS71" i="13"/>
  <c r="BA71" i="13"/>
  <c r="AP71" i="13"/>
  <c r="X37" i="13"/>
  <c r="AK37" i="13"/>
  <c r="R37" i="13"/>
  <c r="AN37" i="13"/>
  <c r="AH37" i="13"/>
  <c r="AY37" i="13"/>
  <c r="BH37" i="13"/>
  <c r="AU71" i="13"/>
  <c r="U37" i="13"/>
  <c r="AM37" i="13"/>
  <c r="L37" i="13"/>
  <c r="AA37" i="13"/>
  <c r="G37" i="13"/>
  <c r="AD37" i="13"/>
  <c r="AB37" i="13"/>
  <c r="AH71" i="13"/>
  <c r="AG71" i="13"/>
  <c r="BD37" i="13"/>
  <c r="V37" i="13"/>
  <c r="M37" i="13"/>
  <c r="BB37" i="13"/>
  <c r="AR37" i="13"/>
  <c r="Z37" i="13"/>
  <c r="AF71" i="13"/>
  <c r="AY71" i="13"/>
  <c r="W37" i="13"/>
  <c r="AP37" i="13"/>
  <c r="F37" i="13"/>
  <c r="AC37" i="13"/>
  <c r="S37" i="13"/>
  <c r="AS37" i="13"/>
  <c r="BG37" i="13"/>
  <c r="AX71" i="13"/>
  <c r="BG71" i="13"/>
  <c r="AW37" i="13"/>
  <c r="AG37" i="13"/>
  <c r="O37" i="13"/>
  <c r="AT37" i="13"/>
  <c r="P37" i="13"/>
  <c r="AU37" i="13"/>
  <c r="AO37" i="13"/>
  <c r="AW71" i="13"/>
  <c r="BD71" i="13"/>
  <c r="AO71" i="13"/>
  <c r="AA71" i="13"/>
  <c r="BE71" i="13"/>
  <c r="BH71" i="13"/>
  <c r="Q37" i="13"/>
  <c r="AI37" i="13"/>
  <c r="K37" i="13"/>
  <c r="AF37" i="13"/>
  <c r="N37" i="13"/>
  <c r="AZ37" i="13"/>
  <c r="BC37" i="13"/>
  <c r="AC71" i="13"/>
  <c r="AM71" i="13"/>
  <c r="AR71" i="13"/>
  <c r="AK71" i="13"/>
  <c r="AJ71" i="13"/>
  <c r="AV71" i="13"/>
  <c r="AB71" i="13"/>
  <c r="AD71" i="13"/>
  <c r="BF37" i="13"/>
  <c r="T37" i="13"/>
  <c r="H37" i="13"/>
  <c r="AV37" i="13"/>
  <c r="AQ37" i="13"/>
  <c r="AJ37" i="13"/>
  <c r="AE37" i="13"/>
  <c r="AZ71" i="13"/>
  <c r="AN71" i="13"/>
  <c r="AI71" i="13"/>
  <c r="AT71" i="13"/>
  <c r="BC71" i="13"/>
  <c r="AL71" i="13"/>
  <c r="BF71" i="13"/>
  <c r="BB71" i="13"/>
  <c r="AQ71" i="13"/>
  <c r="AE71" i="13"/>
  <c r="Z71" i="13"/>
  <c r="CO7" i="13"/>
  <c r="CE7" i="13"/>
  <c r="CH7" i="13"/>
  <c r="CB7" i="13"/>
  <c r="CC7" i="13"/>
  <c r="CP7" i="13"/>
  <c r="BW7" i="13"/>
  <c r="BX7" i="13"/>
  <c r="CI7" i="13"/>
  <c r="BZ7" i="13"/>
  <c r="CG7" i="13"/>
  <c r="CJ7" i="13"/>
  <c r="BY7" i="13"/>
  <c r="CF7" i="13"/>
  <c r="CK7" i="13"/>
  <c r="CA7" i="13"/>
  <c r="CD7" i="13"/>
  <c r="CL7" i="13"/>
  <c r="CN7" i="13"/>
  <c r="CM7" i="13"/>
  <c r="D38" i="13"/>
  <c r="C38" i="13"/>
  <c r="E38" i="13"/>
  <c r="M21" i="7"/>
  <c r="L61" i="1"/>
  <c r="L57" i="1"/>
  <c r="CT42" i="13"/>
  <c r="CO42" i="13"/>
  <c r="CV25" i="13"/>
  <c r="CI42" i="13"/>
  <c r="CN25" i="13"/>
  <c r="CR25" i="13"/>
  <c r="CN42" i="13"/>
  <c r="CJ42" i="13"/>
  <c r="CU42" i="13"/>
  <c r="CV42" i="13"/>
  <c r="CO25" i="13"/>
  <c r="CQ25" i="13"/>
  <c r="CH42" i="13"/>
  <c r="CM42" i="13"/>
  <c r="CK25" i="13"/>
  <c r="CJ25" i="13"/>
  <c r="CH25" i="13"/>
  <c r="CP42" i="13"/>
  <c r="CP59" i="13"/>
  <c r="CP45" i="13"/>
  <c r="CP62" i="13"/>
  <c r="CP52" i="13"/>
  <c r="CP69" i="13"/>
  <c r="CP72" i="13"/>
  <c r="CT59" i="13"/>
  <c r="CO59" i="13"/>
  <c r="CU25" i="13"/>
  <c r="CQ42" i="13"/>
  <c r="CQ59" i="13"/>
  <c r="CS42" i="13"/>
  <c r="CS59" i="13"/>
  <c r="CI59" i="13"/>
  <c r="CI25" i="13"/>
  <c r="CM25" i="13"/>
  <c r="CN59" i="13"/>
  <c r="CJ59" i="13"/>
  <c r="CU59" i="13"/>
  <c r="CV59" i="13"/>
  <c r="CL25" i="13"/>
  <c r="CP25" i="13"/>
  <c r="CL42" i="13"/>
  <c r="CL59" i="13"/>
  <c r="CL45" i="13"/>
  <c r="CL62" i="13"/>
  <c r="CL52" i="13"/>
  <c r="CL69" i="13"/>
  <c r="CL72" i="13"/>
  <c r="CK42" i="13"/>
  <c r="CK59" i="13"/>
  <c r="CK45" i="13"/>
  <c r="CK62" i="13"/>
  <c r="CK52" i="13"/>
  <c r="CK69" i="13"/>
  <c r="CK72" i="13"/>
  <c r="CR59" i="13"/>
  <c r="CM59" i="13"/>
  <c r="CT25" i="13"/>
  <c r="CS25" i="13"/>
  <c r="CD42" i="13"/>
  <c r="CB42" i="13"/>
  <c r="BV42" i="13"/>
  <c r="BQ42" i="13"/>
  <c r="BI42" i="13"/>
  <c r="BR42" i="13"/>
  <c r="BP42" i="13"/>
  <c r="BZ42" i="13"/>
  <c r="CC42" i="13"/>
  <c r="BK42" i="13"/>
  <c r="BW42" i="13"/>
  <c r="BJ42" i="13"/>
  <c r="BY42" i="13"/>
  <c r="BN42" i="13"/>
  <c r="BL42" i="13"/>
  <c r="CF42" i="13"/>
  <c r="BT42" i="13"/>
  <c r="BX42" i="13"/>
  <c r="CG42" i="13"/>
  <c r="CA42" i="13"/>
  <c r="BM42" i="13"/>
  <c r="CE42" i="13"/>
  <c r="BO42" i="13"/>
  <c r="BS42" i="13"/>
  <c r="CH59" i="13"/>
  <c r="AX13" i="13"/>
  <c r="BR13" i="13"/>
  <c r="BQ13" i="13"/>
  <c r="BH13" i="13"/>
  <c r="BL13" i="13"/>
  <c r="AW13" i="13"/>
  <c r="BV13" i="13"/>
  <c r="BU13" i="13"/>
  <c r="BO13" i="13"/>
  <c r="BB13" i="13"/>
  <c r="BA13" i="13"/>
  <c r="AV13" i="13"/>
  <c r="AY13" i="13"/>
  <c r="AZ13" i="13"/>
  <c r="BC13" i="13"/>
  <c r="BM13" i="13"/>
  <c r="BF13" i="13"/>
  <c r="BI13" i="13"/>
  <c r="BE13" i="13"/>
  <c r="BJ13" i="13"/>
  <c r="BS13" i="13"/>
  <c r="AS13" i="13"/>
  <c r="BN13" i="13"/>
  <c r="BT13" i="13"/>
  <c r="AU13" i="13"/>
  <c r="BK13" i="13"/>
  <c r="BP13" i="13"/>
  <c r="AT13" i="13"/>
  <c r="BD13" i="13"/>
  <c r="BG13" i="13"/>
  <c r="BB3" i="13"/>
  <c r="BF3" i="13"/>
  <c r="BI3" i="13"/>
  <c r="BH3" i="13"/>
  <c r="BG3" i="13"/>
  <c r="BP3" i="13"/>
  <c r="BV3" i="13"/>
  <c r="AY3" i="13"/>
  <c r="BR3" i="13"/>
  <c r="BU3" i="13"/>
  <c r="AU3" i="13"/>
  <c r="BO3" i="13"/>
  <c r="AV3" i="13"/>
  <c r="BN3" i="13"/>
  <c r="BE3" i="13"/>
  <c r="BM3" i="13"/>
  <c r="AZ3" i="13"/>
  <c r="BK3" i="13"/>
  <c r="BS3" i="13"/>
  <c r="BL3" i="13"/>
  <c r="AW3" i="13"/>
  <c r="AX3" i="13"/>
  <c r="AS3" i="13"/>
  <c r="AT3" i="13"/>
  <c r="BT3" i="13"/>
  <c r="BD3" i="13"/>
  <c r="BJ3" i="13"/>
  <c r="BQ3" i="13"/>
  <c r="BA3" i="13"/>
  <c r="BC3" i="13"/>
  <c r="CT45" i="13"/>
  <c r="CT62" i="13"/>
  <c r="CW62" i="13"/>
  <c r="CW72" i="13"/>
  <c r="DA28" i="13"/>
  <c r="DA38" i="13"/>
  <c r="CM45" i="13"/>
  <c r="CM62" i="13"/>
  <c r="CR62" i="13"/>
  <c r="CN45" i="13"/>
  <c r="CN62" i="13"/>
  <c r="CZ28" i="13"/>
  <c r="CZ38" i="13"/>
  <c r="CV45" i="13"/>
  <c r="CV62" i="13"/>
  <c r="CJ45" i="13"/>
  <c r="CJ62" i="13"/>
  <c r="CO45" i="13"/>
  <c r="CO62" i="13"/>
  <c r="CW28" i="13"/>
  <c r="CW38" i="13"/>
  <c r="CX28" i="13"/>
  <c r="CX38" i="13"/>
  <c r="CY62" i="13"/>
  <c r="CY72" i="13"/>
  <c r="CU45" i="13"/>
  <c r="CU62" i="13"/>
  <c r="CH45" i="13"/>
  <c r="DA62" i="13"/>
  <c r="DA72" i="13"/>
  <c r="CY28" i="13"/>
  <c r="CY38" i="13"/>
  <c r="CS45" i="13"/>
  <c r="CS62" i="13"/>
  <c r="CX62" i="13"/>
  <c r="CX72" i="13"/>
  <c r="CI45" i="13"/>
  <c r="CI62" i="13"/>
  <c r="CQ45" i="13"/>
  <c r="CQ62" i="13"/>
  <c r="CZ62" i="13"/>
  <c r="CZ72" i="13"/>
  <c r="V25" i="13"/>
  <c r="R25" i="13"/>
  <c r="Y25" i="13"/>
  <c r="T25" i="13"/>
  <c r="U25" i="13"/>
  <c r="I25" i="13"/>
  <c r="M25" i="13"/>
  <c r="AW25" i="13"/>
  <c r="AP25" i="13"/>
  <c r="AO25" i="13"/>
  <c r="BC25" i="13"/>
  <c r="AJ25" i="13"/>
  <c r="BF25" i="13"/>
  <c r="BH25" i="13"/>
  <c r="BG25" i="13"/>
  <c r="AD25" i="13"/>
  <c r="BE25" i="13"/>
  <c r="BA25" i="13"/>
  <c r="AZ25" i="13"/>
  <c r="AY25" i="13"/>
  <c r="AE25" i="13"/>
  <c r="AM25" i="13"/>
  <c r="BD25" i="13"/>
  <c r="AH25" i="13"/>
  <c r="Q25" i="13"/>
  <c r="L25" i="13"/>
  <c r="O25" i="13"/>
  <c r="G25" i="13"/>
  <c r="J25" i="13"/>
  <c r="X25" i="13"/>
  <c r="W25" i="13"/>
  <c r="P25" i="13"/>
  <c r="H25" i="13"/>
  <c r="K25" i="13"/>
  <c r="N25" i="13"/>
  <c r="AU25" i="13"/>
  <c r="AI25" i="13"/>
  <c r="AS25" i="13"/>
  <c r="AT25" i="13"/>
  <c r="AX25" i="13"/>
  <c r="AG25" i="13"/>
  <c r="AR25" i="13"/>
  <c r="AA25" i="13"/>
  <c r="BB25" i="13"/>
  <c r="AC25" i="13"/>
  <c r="AL25" i="13"/>
  <c r="AN25" i="13"/>
  <c r="Z25" i="13"/>
  <c r="AF25" i="13"/>
  <c r="AK25" i="13"/>
  <c r="AB25" i="13"/>
  <c r="AQ25" i="13"/>
  <c r="AV25" i="13"/>
  <c r="CJ13" i="13"/>
  <c r="CI13" i="13"/>
  <c r="CG13" i="13"/>
  <c r="CC13" i="13"/>
  <c r="CD13" i="13"/>
  <c r="CN13" i="13"/>
  <c r="CE13" i="13"/>
  <c r="CA13" i="13"/>
  <c r="BW13" i="13"/>
  <c r="CK13" i="13"/>
  <c r="CF13" i="13"/>
  <c r="CL13" i="13"/>
  <c r="BZ13" i="13"/>
  <c r="CP13" i="13"/>
  <c r="CB13" i="13"/>
  <c r="CH13" i="13"/>
  <c r="BX13" i="13"/>
  <c r="BY13" i="13"/>
  <c r="CM13" i="13"/>
  <c r="CO13" i="13"/>
  <c r="I61" i="1"/>
  <c r="B38" i="13"/>
  <c r="AL13" i="13"/>
  <c r="W13" i="13"/>
  <c r="W69" i="13"/>
  <c r="J13" i="13"/>
  <c r="J69" i="13"/>
  <c r="AG13" i="13"/>
  <c r="AP13" i="13"/>
  <c r="Z13" i="13"/>
  <c r="X13" i="13"/>
  <c r="X69" i="13"/>
  <c r="AA13" i="13"/>
  <c r="AF13" i="13"/>
  <c r="O13" i="13"/>
  <c r="O69" i="13"/>
  <c r="G13" i="13"/>
  <c r="G69" i="13"/>
  <c r="AD13" i="13"/>
  <c r="R13" i="13"/>
  <c r="R69" i="13"/>
  <c r="AR13" i="13"/>
  <c r="AN13" i="13"/>
  <c r="U13" i="13"/>
  <c r="U69" i="13"/>
  <c r="AQ13" i="13"/>
  <c r="AC13" i="13"/>
  <c r="Q13" i="13"/>
  <c r="Q69" i="13"/>
  <c r="F13" i="13"/>
  <c r="F69" i="13"/>
  <c r="S13" i="13"/>
  <c r="S69" i="13"/>
  <c r="AM13" i="13"/>
  <c r="Y13" i="13"/>
  <c r="Y69" i="13"/>
  <c r="H13" i="13"/>
  <c r="H69" i="13"/>
  <c r="L13" i="13"/>
  <c r="L69" i="13"/>
  <c r="AK13" i="13"/>
  <c r="AJ13" i="13"/>
  <c r="N13" i="13"/>
  <c r="N69" i="13"/>
  <c r="AO13" i="13"/>
  <c r="T13" i="13"/>
  <c r="T69" i="13"/>
  <c r="V13" i="13"/>
  <c r="V69" i="13"/>
  <c r="I13" i="13"/>
  <c r="I69" i="13"/>
  <c r="K13" i="13"/>
  <c r="K69" i="13"/>
  <c r="AE13" i="13"/>
  <c r="P13" i="13"/>
  <c r="P69" i="13"/>
  <c r="AI13" i="13"/>
  <c r="AH13" i="13"/>
  <c r="M13" i="13"/>
  <c r="M69" i="13"/>
  <c r="AB13" i="13"/>
  <c r="L57" i="8"/>
  <c r="L61" i="8"/>
  <c r="L62" i="8"/>
  <c r="BI64" i="13"/>
  <c r="Z65" i="13"/>
  <c r="Z60" i="13"/>
  <c r="BI70" i="13"/>
  <c r="BI63" i="13"/>
  <c r="Z62" i="13"/>
  <c r="I61" i="8"/>
  <c r="CB3" i="13"/>
  <c r="CP3" i="13"/>
  <c r="CN3" i="13"/>
  <c r="CI3" i="13"/>
  <c r="CK3" i="13"/>
  <c r="CC3" i="13"/>
  <c r="CM3" i="13"/>
  <c r="BY3" i="13"/>
  <c r="CJ3" i="13"/>
  <c r="BZ3" i="13"/>
  <c r="BX3" i="13"/>
  <c r="CA3" i="13"/>
  <c r="CH3" i="13"/>
  <c r="CF3" i="13"/>
  <c r="CD3" i="13"/>
  <c r="CG3" i="13"/>
  <c r="CE3" i="13"/>
  <c r="CO3" i="13"/>
  <c r="CL3" i="13"/>
  <c r="BW3" i="13"/>
  <c r="CB35" i="13"/>
  <c r="CC35" i="13"/>
  <c r="BS35" i="13"/>
  <c r="BW35" i="13"/>
  <c r="BQ35" i="13"/>
  <c r="BP35" i="13"/>
  <c r="BJ35" i="13"/>
  <c r="BK35" i="13"/>
  <c r="BL35" i="13"/>
  <c r="BR35" i="13"/>
  <c r="CD35" i="13"/>
  <c r="BO35" i="13"/>
  <c r="CF35" i="13"/>
  <c r="AQ52" i="13"/>
  <c r="AI52" i="13"/>
  <c r="AE52" i="13"/>
  <c r="AJ52" i="13"/>
  <c r="AK52" i="13"/>
  <c r="AR52" i="13"/>
  <c r="AO52" i="13"/>
  <c r="AV52" i="13"/>
  <c r="AL52" i="13"/>
  <c r="AH52" i="13"/>
  <c r="AU52" i="13"/>
  <c r="AF52" i="13"/>
  <c r="AT52" i="13"/>
  <c r="AY52" i="13"/>
  <c r="BI35" i="13"/>
  <c r="CE35" i="13"/>
  <c r="BY35" i="13"/>
  <c r="BZ35" i="13"/>
  <c r="BN35" i="13"/>
  <c r="BT35" i="13"/>
  <c r="BX35" i="13"/>
  <c r="CG35" i="13"/>
  <c r="BV35" i="13"/>
  <c r="CA35" i="13"/>
  <c r="BU35" i="13"/>
  <c r="BM35" i="13"/>
  <c r="Z52" i="13"/>
  <c r="AC52" i="13"/>
  <c r="BF52" i="13"/>
  <c r="BD52" i="13"/>
  <c r="BH52" i="13"/>
  <c r="AG52" i="13"/>
  <c r="BE52" i="13"/>
  <c r="AX52" i="13"/>
  <c r="BB52" i="13"/>
  <c r="AW52" i="13"/>
  <c r="BC52" i="13"/>
  <c r="AM52" i="13"/>
  <c r="AZ52" i="13"/>
  <c r="AP52" i="13"/>
  <c r="BA52" i="13"/>
  <c r="BG52" i="13"/>
  <c r="AS52" i="13"/>
  <c r="AA52" i="13"/>
  <c r="AB52" i="13"/>
  <c r="AN52" i="13"/>
  <c r="CG59" i="13"/>
  <c r="AX42" i="13"/>
  <c r="AX59" i="13"/>
  <c r="AX69" i="13"/>
  <c r="AX72" i="13"/>
  <c r="AH42" i="13"/>
  <c r="AH59" i="13"/>
  <c r="AH69" i="13"/>
  <c r="AH72" i="13"/>
  <c r="BV25" i="13"/>
  <c r="BV38" i="13"/>
  <c r="AB42" i="13"/>
  <c r="AB3" i="13"/>
  <c r="AB59" i="13"/>
  <c r="AB69" i="13"/>
  <c r="AB72" i="13"/>
  <c r="BD42" i="13"/>
  <c r="BD59" i="13"/>
  <c r="BD69" i="13"/>
  <c r="BD72" i="13"/>
  <c r="AI42" i="13"/>
  <c r="AI59" i="13"/>
  <c r="AI69" i="13"/>
  <c r="AI72" i="13"/>
  <c r="BL25" i="13"/>
  <c r="BL38" i="13"/>
  <c r="BO25" i="13"/>
  <c r="BO38" i="13"/>
  <c r="BX59" i="13"/>
  <c r="BS25" i="13"/>
  <c r="BS38" i="13"/>
  <c r="BU25" i="13"/>
  <c r="BU38" i="13"/>
  <c r="AU42" i="13"/>
  <c r="AU59" i="13"/>
  <c r="AU69" i="13"/>
  <c r="AU72" i="13"/>
  <c r="BH42" i="13"/>
  <c r="BH59" i="13"/>
  <c r="BH69" i="13"/>
  <c r="BH72" i="13"/>
  <c r="AK42" i="13"/>
  <c r="AK59" i="13"/>
  <c r="AK69" i="13"/>
  <c r="AK72" i="13"/>
  <c r="AT42" i="13"/>
  <c r="AT59" i="13"/>
  <c r="AT69" i="13"/>
  <c r="AT72" i="13"/>
  <c r="BY25" i="13"/>
  <c r="BY38" i="13"/>
  <c r="CA59" i="13"/>
  <c r="BM59" i="13"/>
  <c r="CE59" i="13"/>
  <c r="BO59" i="13"/>
  <c r="BS59" i="13"/>
  <c r="AJ42" i="13"/>
  <c r="AJ59" i="13"/>
  <c r="AJ69" i="13"/>
  <c r="AJ72" i="13"/>
  <c r="AE42" i="13"/>
  <c r="AE59" i="13"/>
  <c r="AE69" i="13"/>
  <c r="AE72" i="13"/>
  <c r="AC42" i="13"/>
  <c r="AC3" i="13"/>
  <c r="AC59" i="13"/>
  <c r="AC69" i="13"/>
  <c r="AC72" i="13"/>
  <c r="AO42" i="13"/>
  <c r="AO59" i="13"/>
  <c r="AO69" i="13"/>
  <c r="AO72" i="13"/>
  <c r="BT25" i="13"/>
  <c r="BT38" i="13"/>
  <c r="CG25" i="13"/>
  <c r="CG38" i="13"/>
  <c r="CB25" i="13"/>
  <c r="CB38" i="13"/>
  <c r="CE25" i="13"/>
  <c r="CE38" i="13"/>
  <c r="CF25" i="13"/>
  <c r="CF38" i="13"/>
  <c r="AZ42" i="13"/>
  <c r="AZ59" i="13"/>
  <c r="AZ69" i="13"/>
  <c r="AZ72" i="13"/>
  <c r="AA42" i="13"/>
  <c r="AA3" i="13"/>
  <c r="AA59" i="13"/>
  <c r="AA69" i="13"/>
  <c r="AA72" i="13"/>
  <c r="AQ42" i="13"/>
  <c r="AQ59" i="13"/>
  <c r="AQ69" i="13"/>
  <c r="AQ72" i="13"/>
  <c r="AW42" i="13"/>
  <c r="AW59" i="13"/>
  <c r="AW69" i="13"/>
  <c r="AW72" i="13"/>
  <c r="BE42" i="13"/>
  <c r="BE59" i="13"/>
  <c r="BE69" i="13"/>
  <c r="BE72" i="13"/>
  <c r="BX25" i="13"/>
  <c r="BX38" i="13"/>
  <c r="BU59" i="13"/>
  <c r="AM42" i="13"/>
  <c r="AM59" i="13"/>
  <c r="AM69" i="13"/>
  <c r="AM72" i="13"/>
  <c r="BB42" i="13"/>
  <c r="BB59" i="13"/>
  <c r="BB69" i="13"/>
  <c r="BB72" i="13"/>
  <c r="BC42" i="13"/>
  <c r="BC59" i="13"/>
  <c r="BC69" i="13"/>
  <c r="BC72" i="13"/>
  <c r="CA25" i="13"/>
  <c r="CA38" i="13"/>
  <c r="BI25" i="13"/>
  <c r="BI38" i="13"/>
  <c r="CD59" i="13"/>
  <c r="CB59" i="13"/>
  <c r="AP42" i="13"/>
  <c r="AP59" i="13"/>
  <c r="AP69" i="13"/>
  <c r="AP72" i="13"/>
  <c r="AR42" i="13"/>
  <c r="AR59" i="13"/>
  <c r="AR69" i="13"/>
  <c r="AR72" i="13"/>
  <c r="BQ25" i="13"/>
  <c r="BQ38" i="13"/>
  <c r="BW25" i="13"/>
  <c r="BW38" i="13"/>
  <c r="AF42" i="13"/>
  <c r="AF59" i="13"/>
  <c r="AF69" i="13"/>
  <c r="AF72" i="13"/>
  <c r="AY42" i="13"/>
  <c r="AY59" i="13"/>
  <c r="AY69" i="13"/>
  <c r="AY72" i="13"/>
  <c r="AD3" i="13"/>
  <c r="AD59" i="13"/>
  <c r="AD69" i="13"/>
  <c r="AD72" i="13"/>
  <c r="BZ25" i="13"/>
  <c r="BZ38" i="13"/>
  <c r="BR25" i="13"/>
  <c r="BR38" i="13"/>
  <c r="BR59" i="13"/>
  <c r="BP59" i="13"/>
  <c r="BZ59" i="13"/>
  <c r="CC59" i="13"/>
  <c r="BK59" i="13"/>
  <c r="BW59" i="13"/>
  <c r="BN25" i="13"/>
  <c r="BN38" i="13"/>
  <c r="BJ25" i="13"/>
  <c r="BJ38" i="13"/>
  <c r="BV59" i="13"/>
  <c r="CC25" i="13"/>
  <c r="CC38" i="13"/>
  <c r="BA42" i="13"/>
  <c r="BA59" i="13"/>
  <c r="BA69" i="13"/>
  <c r="BA72" i="13"/>
  <c r="Z42" i="13"/>
  <c r="BF42" i="13"/>
  <c r="BF59" i="13"/>
  <c r="BF69" i="13"/>
  <c r="BF72" i="13"/>
  <c r="BG42" i="13"/>
  <c r="BG59" i="13"/>
  <c r="BG69" i="13"/>
  <c r="BG72" i="13"/>
  <c r="CD25" i="13"/>
  <c r="CD38" i="13"/>
  <c r="BK25" i="13"/>
  <c r="BK38" i="13"/>
  <c r="BP25" i="13"/>
  <c r="BP38" i="13"/>
  <c r="BJ59" i="13"/>
  <c r="BY59" i="13"/>
  <c r="BN59" i="13"/>
  <c r="BL59" i="13"/>
  <c r="CF59" i="13"/>
  <c r="BT59" i="13"/>
  <c r="BQ59" i="13"/>
  <c r="BI59" i="13"/>
  <c r="BM25" i="13"/>
  <c r="BM38" i="13"/>
  <c r="AN42" i="13"/>
  <c r="AN59" i="13"/>
  <c r="AN69" i="13"/>
  <c r="AN72" i="13"/>
  <c r="AV42" i="13"/>
  <c r="AV59" i="13"/>
  <c r="AV69" i="13"/>
  <c r="AV72" i="13"/>
  <c r="AL42" i="13"/>
  <c r="AL59" i="13"/>
  <c r="AL69" i="13"/>
  <c r="AL72" i="13"/>
  <c r="AS42" i="13"/>
  <c r="AS59" i="13"/>
  <c r="AS69" i="13"/>
  <c r="AS72" i="13"/>
  <c r="AG42" i="13"/>
  <c r="AG59" i="13"/>
  <c r="AG69" i="13"/>
  <c r="AG72" i="13"/>
  <c r="CV6" i="13"/>
  <c r="CS6" i="13"/>
  <c r="CZ6" i="13"/>
  <c r="CW6" i="13"/>
  <c r="DA6" i="13"/>
  <c r="CU6" i="13"/>
  <c r="CR6" i="13"/>
  <c r="CQ6" i="13"/>
  <c r="CX6" i="13"/>
  <c r="CT6" i="13"/>
  <c r="CY6" i="13"/>
  <c r="AP3" i="13"/>
  <c r="AI3" i="13"/>
  <c r="O3" i="13"/>
  <c r="O59" i="13"/>
  <c r="O72" i="13"/>
  <c r="K3" i="13"/>
  <c r="K59" i="13"/>
  <c r="K72" i="13"/>
  <c r="L3" i="13"/>
  <c r="L59" i="13"/>
  <c r="L72" i="13"/>
  <c r="AR3" i="13"/>
  <c r="S3" i="13"/>
  <c r="S59" i="13"/>
  <c r="S72" i="13"/>
  <c r="Z3" i="13"/>
  <c r="J3" i="13"/>
  <c r="J59" i="13"/>
  <c r="J72" i="13"/>
  <c r="W3" i="13"/>
  <c r="W59" i="13"/>
  <c r="W72" i="13"/>
  <c r="AK3" i="13"/>
  <c r="AG3" i="13"/>
  <c r="U3" i="13"/>
  <c r="U59" i="13"/>
  <c r="U72" i="13"/>
  <c r="H3" i="13"/>
  <c r="H59" i="13"/>
  <c r="H72" i="13"/>
  <c r="AO3" i="13"/>
  <c r="AJ3" i="13"/>
  <c r="V3" i="13"/>
  <c r="V59" i="13"/>
  <c r="V72" i="13"/>
  <c r="T3" i="13"/>
  <c r="T59" i="13"/>
  <c r="T72" i="13"/>
  <c r="AL3" i="13"/>
  <c r="F3" i="13"/>
  <c r="F59" i="13"/>
  <c r="F72" i="13"/>
  <c r="X3" i="13"/>
  <c r="X59" i="13"/>
  <c r="X72" i="13"/>
  <c r="I3" i="13"/>
  <c r="I59" i="13"/>
  <c r="I72" i="13"/>
  <c r="AH3" i="13"/>
  <c r="M3" i="13"/>
  <c r="M59" i="13"/>
  <c r="M72" i="13"/>
  <c r="AN3" i="13"/>
  <c r="N3" i="13"/>
  <c r="N59" i="13"/>
  <c r="N72" i="13"/>
  <c r="R3" i="13"/>
  <c r="R59" i="13"/>
  <c r="R72" i="13"/>
  <c r="Q3" i="13"/>
  <c r="Q59" i="13"/>
  <c r="Q72" i="13"/>
  <c r="P3" i="13"/>
  <c r="P59" i="13"/>
  <c r="P72" i="13"/>
  <c r="AF3" i="13"/>
  <c r="AE3" i="13"/>
  <c r="Y3" i="13"/>
  <c r="Y59" i="13"/>
  <c r="Y72" i="13"/>
  <c r="G3" i="13"/>
  <c r="G59" i="13"/>
  <c r="G72" i="13"/>
  <c r="AM3" i="13"/>
  <c r="AQ3" i="13"/>
  <c r="CM35" i="13"/>
  <c r="CP35" i="13"/>
  <c r="CR35" i="13"/>
  <c r="CK35" i="13"/>
  <c r="CM52" i="13"/>
  <c r="CS35" i="13"/>
  <c r="CQ35" i="13"/>
  <c r="CH35" i="13"/>
  <c r="CN35" i="13"/>
  <c r="BJ52" i="13"/>
  <c r="BJ69" i="13"/>
  <c r="CB52" i="13"/>
  <c r="CB69" i="13"/>
  <c r="CD52" i="13"/>
  <c r="CD69" i="13"/>
  <c r="BK52" i="13"/>
  <c r="BK69" i="13"/>
  <c r="BT52" i="13"/>
  <c r="BT69" i="13"/>
  <c r="CF52" i="13"/>
  <c r="CF69" i="13"/>
  <c r="BQ52" i="13"/>
  <c r="BQ69" i="13"/>
  <c r="CA52" i="13"/>
  <c r="CA69" i="13"/>
  <c r="BS52" i="13"/>
  <c r="BS69" i="13"/>
  <c r="BN52" i="13"/>
  <c r="BN69" i="13"/>
  <c r="BX52" i="13"/>
  <c r="BX69" i="13"/>
  <c r="BZ52" i="13"/>
  <c r="BZ69" i="13"/>
  <c r="BO52" i="13"/>
  <c r="BO69" i="13"/>
  <c r="BP52" i="13"/>
  <c r="BP69" i="13"/>
  <c r="BR52" i="13"/>
  <c r="BR69" i="13"/>
  <c r="CC52" i="13"/>
  <c r="CC69" i="13"/>
  <c r="BU69" i="13"/>
  <c r="BI52" i="13"/>
  <c r="BW52" i="13"/>
  <c r="BW69" i="13"/>
  <c r="BV52" i="13"/>
  <c r="BV69" i="13"/>
  <c r="BL52" i="13"/>
  <c r="BL69" i="13"/>
  <c r="BY52" i="13"/>
  <c r="BY69" i="13"/>
  <c r="CG52" i="13"/>
  <c r="CG69" i="13"/>
  <c r="CE52" i="13"/>
  <c r="CE69" i="13"/>
  <c r="BM52" i="13"/>
  <c r="BM69" i="13"/>
  <c r="CJ35" i="13"/>
  <c r="CT35" i="13"/>
  <c r="CT52" i="13"/>
  <c r="CT69" i="13"/>
  <c r="CJ52" i="13"/>
  <c r="CJ69" i="13"/>
  <c r="CV52" i="13"/>
  <c r="CV69" i="13"/>
  <c r="CO52" i="13"/>
  <c r="CO69" i="13"/>
  <c r="CI35" i="13"/>
  <c r="CV35" i="13"/>
  <c r="CI52" i="13"/>
  <c r="CI69" i="13"/>
  <c r="CM69" i="13"/>
  <c r="CO35" i="13"/>
  <c r="CN52" i="13"/>
  <c r="CN69" i="13"/>
  <c r="CH52" i="13"/>
  <c r="CQ52" i="13"/>
  <c r="CQ69" i="13"/>
  <c r="CS52" i="13"/>
  <c r="CS69" i="13"/>
  <c r="CU35" i="13"/>
  <c r="CL35" i="13"/>
  <c r="CR69" i="13"/>
  <c r="CU52" i="13"/>
  <c r="CU69" i="13"/>
  <c r="CH69" i="13"/>
  <c r="AD35" i="13"/>
  <c r="K35" i="13"/>
  <c r="BA35" i="13"/>
  <c r="AW35" i="13"/>
  <c r="BG35" i="13"/>
  <c r="AH35" i="13"/>
  <c r="AY35" i="13"/>
  <c r="L35" i="13"/>
  <c r="BF35" i="13"/>
  <c r="Z69" i="13"/>
  <c r="P35" i="13"/>
  <c r="BC35" i="13"/>
  <c r="H35" i="13"/>
  <c r="AA35" i="13"/>
  <c r="T35" i="13"/>
  <c r="BB35" i="13"/>
  <c r="W35" i="13"/>
  <c r="F35" i="13"/>
  <c r="AR35" i="13"/>
  <c r="AK35" i="13"/>
  <c r="AX35" i="13"/>
  <c r="AB35" i="13"/>
  <c r="AG35" i="13"/>
  <c r="I35" i="13"/>
  <c r="AP35" i="13"/>
  <c r="O35" i="13"/>
  <c r="AV35" i="13"/>
  <c r="AU35" i="13"/>
  <c r="AQ35" i="13"/>
  <c r="AS35" i="13"/>
  <c r="AC35" i="13"/>
  <c r="M35" i="13"/>
  <c r="AZ35" i="13"/>
  <c r="Z35" i="13"/>
  <c r="Q35" i="13"/>
  <c r="AT35" i="13"/>
  <c r="U35" i="13"/>
  <c r="AO35" i="13"/>
  <c r="AF35" i="13"/>
  <c r="BD35" i="13"/>
  <c r="AM35" i="13"/>
  <c r="V35" i="13"/>
  <c r="AJ35" i="13"/>
  <c r="AL35" i="13"/>
  <c r="S35" i="13"/>
  <c r="BH35" i="13"/>
  <c r="J35" i="13"/>
  <c r="X35" i="13"/>
  <c r="Y35" i="13"/>
  <c r="AI35" i="13"/>
  <c r="G35" i="13"/>
  <c r="AE35" i="13"/>
  <c r="N35" i="13"/>
  <c r="BE35" i="13"/>
  <c r="R35" i="13"/>
  <c r="AN35" i="13"/>
  <c r="CH64" i="13"/>
  <c r="BI60" i="13"/>
  <c r="Z64" i="13"/>
  <c r="BI67" i="13"/>
  <c r="Z66" i="13"/>
  <c r="BI61" i="13"/>
  <c r="CQ72" i="13"/>
  <c r="CS72" i="13"/>
  <c r="I61" i="12"/>
  <c r="L64" i="8"/>
  <c r="L58" i="8"/>
  <c r="N16" i="13"/>
  <c r="G16" i="13"/>
  <c r="L16" i="13"/>
  <c r="Z16" i="13"/>
  <c r="AM16" i="13"/>
  <c r="M16" i="13"/>
  <c r="F16" i="13"/>
  <c r="AF16" i="13"/>
  <c r="U16" i="13"/>
  <c r="AA16" i="13"/>
  <c r="O16" i="13"/>
  <c r="AR16" i="13"/>
  <c r="Q16" i="13"/>
  <c r="S16" i="13"/>
  <c r="AK16" i="13"/>
  <c r="W16" i="13"/>
  <c r="P16" i="13"/>
  <c r="H16" i="13"/>
  <c r="K16" i="13"/>
  <c r="BC19" i="13"/>
  <c r="AY19" i="13"/>
  <c r="AX19" i="13"/>
  <c r="AU19" i="13"/>
  <c r="BG19" i="13"/>
  <c r="BF19" i="13"/>
  <c r="AQ19" i="13"/>
  <c r="AB19" i="13"/>
  <c r="AF19" i="13"/>
  <c r="AI19" i="13"/>
  <c r="AH19" i="13"/>
  <c r="AG19" i="13"/>
  <c r="AR19" i="13"/>
  <c r="AA19" i="13"/>
  <c r="BA19" i="13"/>
  <c r="AM19" i="13"/>
  <c r="AJ19" i="13"/>
  <c r="Z19" i="13"/>
  <c r="AQ16" i="13"/>
  <c r="R16" i="13"/>
  <c r="AC16" i="13"/>
  <c r="AJ16" i="13"/>
  <c r="AL16" i="13"/>
  <c r="AD16" i="13"/>
  <c r="X16" i="13"/>
  <c r="I16" i="13"/>
  <c r="V16" i="13"/>
  <c r="J16" i="13"/>
  <c r="AO16" i="13"/>
  <c r="AP16" i="13"/>
  <c r="AI16" i="13"/>
  <c r="T16" i="13"/>
  <c r="AG16" i="13"/>
  <c r="AB16" i="13"/>
  <c r="AH16" i="13"/>
  <c r="AN16" i="13"/>
  <c r="Y16" i="13"/>
  <c r="AE19" i="13"/>
  <c r="AD19" i="13"/>
  <c r="AW19" i="13"/>
  <c r="AT19" i="13"/>
  <c r="AP19" i="13"/>
  <c r="AO19" i="13"/>
  <c r="BE19" i="13"/>
  <c r="AN19" i="13"/>
  <c r="AC19" i="13"/>
  <c r="AZ19" i="13"/>
  <c r="AL19" i="13"/>
  <c r="AS19" i="13"/>
  <c r="BD19" i="13"/>
  <c r="BB19" i="13"/>
  <c r="AK19" i="13"/>
  <c r="AV19" i="13"/>
  <c r="L23" i="1"/>
  <c r="L58" i="1"/>
  <c r="M22" i="7"/>
  <c r="Y22" i="7"/>
  <c r="Y8" i="7"/>
  <c r="J33" i="7"/>
  <c r="J32" i="7"/>
  <c r="H78" i="9"/>
  <c r="Y20" i="7"/>
  <c r="AC20" i="7"/>
  <c r="AA20" i="7"/>
  <c r="AE20" i="7"/>
  <c r="AG20" i="7"/>
  <c r="AK20" i="7"/>
  <c r="H73" i="9"/>
  <c r="J40" i="7"/>
  <c r="J44" i="7"/>
  <c r="J35" i="7"/>
  <c r="AA15" i="7"/>
  <c r="AC15" i="7"/>
  <c r="AG15" i="7"/>
  <c r="AE15" i="7"/>
  <c r="AK15" i="7"/>
  <c r="Y15" i="7"/>
  <c r="AE17" i="7"/>
  <c r="AG17" i="7"/>
  <c r="AK17" i="7"/>
  <c r="AA17" i="7"/>
  <c r="Y17" i="7"/>
  <c r="AC17" i="7"/>
  <c r="Y11" i="7"/>
  <c r="Y7" i="7"/>
  <c r="J48" i="7"/>
  <c r="Y10" i="7"/>
  <c r="J42" i="7"/>
  <c r="H81" i="9"/>
  <c r="H86" i="9"/>
  <c r="J39" i="7"/>
  <c r="H85" i="9"/>
  <c r="J37" i="7"/>
  <c r="Y21" i="7"/>
  <c r="AG21" i="7"/>
  <c r="AE21" i="7"/>
  <c r="AC21" i="7"/>
  <c r="AA21" i="7"/>
  <c r="J29" i="7"/>
  <c r="J41" i="7"/>
  <c r="H75" i="9"/>
  <c r="BT72" i="13"/>
  <c r="BL72" i="13"/>
  <c r="BY72" i="13"/>
  <c r="BV72" i="13"/>
  <c r="BK72" i="13"/>
  <c r="BZ72" i="13"/>
  <c r="BR72" i="13"/>
  <c r="CB72" i="13"/>
  <c r="BO72" i="13"/>
  <c r="BM72" i="13"/>
  <c r="CG72" i="13"/>
  <c r="BI69" i="13"/>
  <c r="BI72" i="13"/>
  <c r="L63" i="8"/>
  <c r="AV38" i="13"/>
  <c r="AB38" i="13"/>
  <c r="AF38" i="13"/>
  <c r="AN38" i="13"/>
  <c r="AC38" i="13"/>
  <c r="AA38" i="13"/>
  <c r="AX38" i="13"/>
  <c r="AS38" i="13"/>
  <c r="AU38" i="13"/>
  <c r="K38" i="13"/>
  <c r="P38" i="13"/>
  <c r="X38" i="13"/>
  <c r="G38" i="13"/>
  <c r="L38" i="13"/>
  <c r="F38" i="13"/>
  <c r="BD38" i="13"/>
  <c r="AE38" i="13"/>
  <c r="BA38" i="13"/>
  <c r="AD38" i="13"/>
  <c r="BH38" i="13"/>
  <c r="BC38" i="13"/>
  <c r="AP38" i="13"/>
  <c r="M38" i="13"/>
  <c r="S38" i="13"/>
  <c r="T38" i="13"/>
  <c r="R38" i="13"/>
  <c r="AE110" i="13"/>
  <c r="AE111" i="13"/>
  <c r="CT38" i="13"/>
  <c r="CR72" i="13"/>
  <c r="CL38" i="13"/>
  <c r="CU72" i="13"/>
  <c r="CN72" i="13"/>
  <c r="CI38" i="13"/>
  <c r="CU38" i="13"/>
  <c r="CT72" i="13"/>
  <c r="CH38" i="13"/>
  <c r="CK38" i="13"/>
  <c r="CQ38" i="13"/>
  <c r="CR38" i="13"/>
  <c r="M21" i="8"/>
  <c r="L23" i="8"/>
  <c r="CH62" i="13"/>
  <c r="AE14" i="7"/>
  <c r="AG14" i="7"/>
  <c r="AK14" i="7"/>
  <c r="Y14" i="7"/>
  <c r="AA14" i="7"/>
  <c r="AC14" i="7"/>
  <c r="Y9" i="7"/>
  <c r="AE12" i="7"/>
  <c r="AC12" i="7"/>
  <c r="AG12" i="7"/>
  <c r="Y12" i="7"/>
  <c r="AA12" i="7"/>
  <c r="AA19" i="7"/>
  <c r="AC19" i="7"/>
  <c r="AE19" i="7"/>
  <c r="Y19" i="7"/>
  <c r="AG19" i="7"/>
  <c r="H84" i="9"/>
  <c r="J51" i="7"/>
  <c r="J34" i="7"/>
  <c r="H79" i="9"/>
  <c r="J45" i="7"/>
  <c r="H77" i="9"/>
  <c r="J31" i="7"/>
  <c r="J46" i="7"/>
  <c r="J49" i="7"/>
  <c r="J38" i="7"/>
  <c r="H80" i="9"/>
  <c r="AA18" i="7"/>
  <c r="AC18" i="7"/>
  <c r="Y18" i="7"/>
  <c r="AG18" i="7"/>
  <c r="AE18" i="7"/>
  <c r="H87" i="9"/>
  <c r="J47" i="7"/>
  <c r="AG16" i="7"/>
  <c r="AA16" i="7"/>
  <c r="AC16" i="7"/>
  <c r="Y16" i="7"/>
  <c r="AE16" i="7"/>
  <c r="AK16" i="7"/>
  <c r="AC13" i="7"/>
  <c r="AA13" i="7"/>
  <c r="AG13" i="7"/>
  <c r="Y13" i="7"/>
  <c r="AE13" i="7"/>
  <c r="AK13" i="7"/>
  <c r="J50" i="7"/>
  <c r="J43" i="7"/>
  <c r="J30" i="7"/>
  <c r="H82" i="9"/>
  <c r="J36" i="7"/>
  <c r="M23" i="7"/>
  <c r="CY16" i="13"/>
  <c r="CR16" i="13"/>
  <c r="CT16" i="13"/>
  <c r="CV16" i="13"/>
  <c r="CZ16" i="13"/>
  <c r="CQ16" i="13"/>
  <c r="CW16" i="13"/>
  <c r="DA16" i="13"/>
  <c r="CX16" i="13"/>
  <c r="CU16" i="13"/>
  <c r="CS16" i="13"/>
  <c r="CA19" i="13"/>
  <c r="BK19" i="13"/>
  <c r="CF19" i="13"/>
  <c r="BR19" i="13"/>
  <c r="BQ19" i="13"/>
  <c r="BY19" i="13"/>
  <c r="BS19" i="13"/>
  <c r="CC19" i="13"/>
  <c r="BU19" i="13"/>
  <c r="BT19" i="13"/>
  <c r="BN19" i="13"/>
  <c r="BZ19" i="13"/>
  <c r="BA16" i="13"/>
  <c r="BV16" i="13"/>
  <c r="AV16" i="13"/>
  <c r="BD16" i="13"/>
  <c r="BB16" i="13"/>
  <c r="BI16" i="13"/>
  <c r="BM16" i="13"/>
  <c r="AX16" i="13"/>
  <c r="BO16" i="13"/>
  <c r="BL16" i="13"/>
  <c r="BU16" i="13"/>
  <c r="AT16" i="13"/>
  <c r="BT16" i="13"/>
  <c r="AS16" i="13"/>
  <c r="BC16" i="13"/>
  <c r="BM19" i="13"/>
  <c r="BO19" i="13"/>
  <c r="BJ19" i="13"/>
  <c r="BP19" i="13"/>
  <c r="BW19" i="13"/>
  <c r="BH19" i="13"/>
  <c r="CD19" i="13"/>
  <c r="CB19" i="13"/>
  <c r="CE19" i="13"/>
  <c r="BL19" i="13"/>
  <c r="BV19" i="13"/>
  <c r="BI19" i="13"/>
  <c r="BX19" i="13"/>
  <c r="AZ16" i="13"/>
  <c r="AW16" i="13"/>
  <c r="BE16" i="13"/>
  <c r="BP16" i="13"/>
  <c r="BG16" i="13"/>
  <c r="BN16" i="13"/>
  <c r="BQ16" i="13"/>
  <c r="AY16" i="13"/>
  <c r="AU16" i="13"/>
  <c r="BJ16" i="13"/>
  <c r="BF16" i="13"/>
  <c r="BK16" i="13"/>
  <c r="BH16" i="13"/>
  <c r="BR16" i="13"/>
  <c r="BS16" i="13"/>
  <c r="CI16" i="13"/>
  <c r="CC16" i="13"/>
  <c r="CL16" i="13"/>
  <c r="CG16" i="13"/>
  <c r="CE16" i="13"/>
  <c r="CO16" i="13"/>
  <c r="BZ16" i="13"/>
  <c r="CB16" i="13"/>
  <c r="CH16" i="13"/>
  <c r="CP16" i="13"/>
  <c r="CV19" i="13"/>
  <c r="CN19" i="13"/>
  <c r="CM19" i="13"/>
  <c r="CJ19" i="13"/>
  <c r="CH19" i="13"/>
  <c r="CP19" i="13"/>
  <c r="CQ19" i="13"/>
  <c r="CU19" i="13"/>
  <c r="CK16" i="13"/>
  <c r="CA16" i="13"/>
  <c r="CJ16" i="13"/>
  <c r="BX16" i="13"/>
  <c r="CD16" i="13"/>
  <c r="CM16" i="13"/>
  <c r="BW16" i="13"/>
  <c r="CN16" i="13"/>
  <c r="CF16" i="13"/>
  <c r="BY16" i="13"/>
  <c r="CR19" i="13"/>
  <c r="CI19" i="13"/>
  <c r="CO19" i="13"/>
  <c r="CT19" i="13"/>
  <c r="CK19" i="13"/>
  <c r="CS19" i="13"/>
  <c r="CL19" i="13"/>
  <c r="CG19" i="13"/>
  <c r="BQ72" i="13"/>
  <c r="CF72" i="13"/>
  <c r="BN72" i="13"/>
  <c r="BJ72" i="13"/>
  <c r="BW72" i="13"/>
  <c r="CC72" i="13"/>
  <c r="BP72" i="13"/>
  <c r="CD72" i="13"/>
  <c r="BU72" i="13"/>
  <c r="BS72" i="13"/>
  <c r="CE72" i="13"/>
  <c r="CA72" i="13"/>
  <c r="BX72" i="13"/>
  <c r="AQ38" i="13"/>
  <c r="AK38" i="13"/>
  <c r="Z38" i="13"/>
  <c r="AL38" i="13"/>
  <c r="BB38" i="13"/>
  <c r="AR38" i="13"/>
  <c r="AG38" i="13"/>
  <c r="AT38" i="13"/>
  <c r="AI38" i="13"/>
  <c r="N38" i="13"/>
  <c r="H38" i="13"/>
  <c r="W38" i="13"/>
  <c r="J38" i="13"/>
  <c r="O38" i="13"/>
  <c r="Q38" i="13"/>
  <c r="Z59" i="13"/>
  <c r="Z72" i="13"/>
  <c r="AH38" i="13"/>
  <c r="AM38" i="13"/>
  <c r="AY38" i="13"/>
  <c r="AZ38" i="13"/>
  <c r="BE38" i="13"/>
  <c r="BG38" i="13"/>
  <c r="BF38" i="13"/>
  <c r="AJ38" i="13"/>
  <c r="AO38" i="13"/>
  <c r="AW38" i="13"/>
  <c r="I38" i="13"/>
  <c r="U38" i="13"/>
  <c r="Y38" i="13"/>
  <c r="V38" i="13"/>
  <c r="CH72" i="13"/>
  <c r="CS38" i="13"/>
  <c r="CM72" i="13"/>
  <c r="CP38" i="13"/>
  <c r="CV72" i="13"/>
  <c r="CJ72" i="13"/>
  <c r="CM38" i="13"/>
  <c r="CI72" i="13"/>
  <c r="CO72" i="13"/>
  <c r="CJ38" i="13"/>
  <c r="CO38" i="13"/>
  <c r="CN38" i="13"/>
  <c r="CV38" i="13"/>
  <c r="AG21" i="8"/>
  <c r="AA21" i="8"/>
  <c r="AE21" i="8"/>
  <c r="AK21" i="8"/>
  <c r="AC21" i="8"/>
  <c r="Y21" i="8"/>
  <c r="AA6" i="7"/>
  <c r="AC6" i="7"/>
  <c r="AE6" i="7"/>
  <c r="AG6" i="7"/>
  <c r="Y6" i="7"/>
  <c r="H74" i="9"/>
  <c r="M36" i="7"/>
  <c r="AC36" i="7"/>
  <c r="AA36" i="7"/>
  <c r="AE36" i="7"/>
  <c r="AG36" i="7"/>
  <c r="AK36" i="7"/>
  <c r="M43" i="7"/>
  <c r="AA43" i="7"/>
  <c r="AE43" i="7"/>
  <c r="AG43" i="7"/>
  <c r="AK43" i="7"/>
  <c r="AC43" i="7"/>
  <c r="AE50" i="7"/>
  <c r="AA50" i="7"/>
  <c r="AC50" i="7"/>
  <c r="AG50" i="7"/>
  <c r="M50" i="7"/>
  <c r="AI16" i="7"/>
  <c r="AJ16" i="7"/>
  <c r="M47" i="7"/>
  <c r="AC47" i="7"/>
  <c r="AG47" i="7"/>
  <c r="AE47" i="7"/>
  <c r="AA47" i="7"/>
  <c r="M49" i="7"/>
  <c r="AC49" i="7"/>
  <c r="AG49" i="7"/>
  <c r="AE49" i="7"/>
  <c r="AK49" i="7"/>
  <c r="AA49" i="7"/>
  <c r="AE46" i="7"/>
  <c r="AG46" i="7"/>
  <c r="AK46" i="7"/>
  <c r="AC46" i="7"/>
  <c r="M46" i="7"/>
  <c r="AA46" i="7"/>
  <c r="M31" i="7"/>
  <c r="M45" i="7"/>
  <c r="AC45" i="7"/>
  <c r="AG45" i="7"/>
  <c r="AE45" i="7"/>
  <c r="AA45" i="7"/>
  <c r="AA51" i="7"/>
  <c r="AE51" i="7"/>
  <c r="AG51" i="7"/>
  <c r="AK51" i="7"/>
  <c r="M51" i="7"/>
  <c r="AC51" i="7"/>
  <c r="AJ12" i="7"/>
  <c r="AI12" i="7"/>
  <c r="M101" i="7"/>
  <c r="J52" i="7"/>
  <c r="M29" i="7"/>
  <c r="AE37" i="7"/>
  <c r="AG37" i="7"/>
  <c r="AK37" i="7"/>
  <c r="AC37" i="7"/>
  <c r="M37" i="7"/>
  <c r="AA37" i="7"/>
  <c r="M39" i="7"/>
  <c r="AA39" i="7"/>
  <c r="AG39" i="7"/>
  <c r="AE39" i="7"/>
  <c r="AK39" i="7"/>
  <c r="AC39" i="7"/>
  <c r="H72" i="9"/>
  <c r="AA10" i="7"/>
  <c r="Z10" i="7"/>
  <c r="AA8" i="7"/>
  <c r="AA9" i="7"/>
  <c r="AA11" i="7"/>
  <c r="AC8" i="7"/>
  <c r="AC9" i="7"/>
  <c r="AC10" i="7"/>
  <c r="AC11" i="7"/>
  <c r="AE10" i="7"/>
  <c r="AD10" i="7"/>
  <c r="AB10" i="7"/>
  <c r="AB7" i="7"/>
  <c r="Z7" i="7"/>
  <c r="AD7" i="7"/>
  <c r="AI17" i="7"/>
  <c r="AJ17" i="7"/>
  <c r="M35" i="7"/>
  <c r="AE35" i="7"/>
  <c r="AG35" i="7"/>
  <c r="AA35" i="7"/>
  <c r="AC35" i="7"/>
  <c r="AE44" i="7"/>
  <c r="AC44" i="7"/>
  <c r="AG44" i="7"/>
  <c r="AA44" i="7"/>
  <c r="M44" i="7"/>
  <c r="AA40" i="7"/>
  <c r="M40" i="7"/>
  <c r="AE40" i="7"/>
  <c r="AC40" i="7"/>
  <c r="AG40" i="7"/>
  <c r="H83" i="9"/>
  <c r="M33" i="7"/>
  <c r="J61" i="7"/>
  <c r="M61" i="7"/>
  <c r="AK12" i="7"/>
  <c r="Y23" i="7"/>
  <c r="N23" i="7"/>
  <c r="M30" i="7"/>
  <c r="AJ13" i="7"/>
  <c r="AI13" i="7"/>
  <c r="AI18" i="7"/>
  <c r="AJ18" i="7"/>
  <c r="AE38" i="7"/>
  <c r="M38" i="7"/>
  <c r="AC38" i="7"/>
  <c r="AA38" i="7"/>
  <c r="AG38" i="7"/>
  <c r="AA34" i="7"/>
  <c r="AC34" i="7"/>
  <c r="AG34" i="7"/>
  <c r="AE34" i="7"/>
  <c r="M34" i="7"/>
  <c r="AI19" i="7"/>
  <c r="AJ19" i="7"/>
  <c r="AE9" i="7"/>
  <c r="AD9" i="7"/>
  <c r="AD32" i="7"/>
  <c r="AB9" i="7"/>
  <c r="AB32" i="7"/>
  <c r="Z9" i="7"/>
  <c r="AI14" i="7"/>
  <c r="AJ14" i="7"/>
  <c r="AC41" i="7"/>
  <c r="AG41" i="7"/>
  <c r="AE41" i="7"/>
  <c r="AK41" i="7"/>
  <c r="M41" i="7"/>
  <c r="AA41" i="7"/>
  <c r="AJ21" i="7"/>
  <c r="AI21" i="7"/>
  <c r="M42" i="7"/>
  <c r="AG42" i="7"/>
  <c r="AA42" i="7"/>
  <c r="AC42" i="7"/>
  <c r="AE42" i="7"/>
  <c r="AA48" i="7"/>
  <c r="AC48" i="7"/>
  <c r="M48" i="7"/>
  <c r="AE48" i="7"/>
  <c r="AG48" i="7"/>
  <c r="Z11" i="7"/>
  <c r="AE11" i="7"/>
  <c r="AD11" i="7"/>
  <c r="AD33" i="7"/>
  <c r="AE33" i="7"/>
  <c r="AB11" i="7"/>
  <c r="AB33" i="7"/>
  <c r="AC33" i="7"/>
  <c r="AI15" i="7"/>
  <c r="AJ15" i="7"/>
  <c r="AJ20" i="7"/>
  <c r="AI20" i="7"/>
  <c r="AE32" i="7"/>
  <c r="AC32" i="7"/>
  <c r="M32" i="7"/>
  <c r="G75" i="9"/>
  <c r="G84" i="9"/>
  <c r="AK18" i="7"/>
  <c r="AK19" i="7"/>
  <c r="H76" i="9"/>
  <c r="AK21" i="7"/>
  <c r="J58" i="7"/>
  <c r="M58" i="7"/>
  <c r="J64" i="7"/>
  <c r="M64" i="7"/>
  <c r="N26" i="7"/>
  <c r="AA15" i="8"/>
  <c r="AE15" i="8"/>
  <c r="Y15" i="8"/>
  <c r="AC15" i="8"/>
  <c r="AG15" i="8"/>
  <c r="J43" i="8"/>
  <c r="J29" i="8"/>
  <c r="AC12" i="8"/>
  <c r="AG12" i="8"/>
  <c r="Y12" i="8"/>
  <c r="AA12" i="8"/>
  <c r="AE12" i="8"/>
  <c r="AE14" i="8"/>
  <c r="Y14" i="8"/>
  <c r="AA14" i="8"/>
  <c r="AC14" i="8"/>
  <c r="AG14" i="8"/>
  <c r="J40" i="8"/>
  <c r="I73" i="9"/>
  <c r="J51" i="8"/>
  <c r="J34" i="8"/>
  <c r="AA17" i="8"/>
  <c r="AC17" i="8"/>
  <c r="AG17" i="8"/>
  <c r="AE17" i="8"/>
  <c r="AK17" i="8"/>
  <c r="Y17" i="8"/>
  <c r="F84" i="9"/>
  <c r="AJ48" i="7"/>
  <c r="AI48" i="7"/>
  <c r="AI41" i="7"/>
  <c r="AJ41" i="7"/>
  <c r="AJ34" i="7"/>
  <c r="AI34" i="7"/>
  <c r="AI38" i="7"/>
  <c r="AJ38" i="7"/>
  <c r="J33" i="8"/>
  <c r="I87" i="9"/>
  <c r="Y18" i="8"/>
  <c r="AC18" i="8"/>
  <c r="AG18" i="8"/>
  <c r="AE18" i="8"/>
  <c r="AA18" i="8"/>
  <c r="J31" i="8"/>
  <c r="J48" i="8"/>
  <c r="J50" i="8"/>
  <c r="Y11" i="8"/>
  <c r="Y8" i="8"/>
  <c r="AA20" i="8"/>
  <c r="Y20" i="8"/>
  <c r="AE20" i="8"/>
  <c r="AG20" i="8"/>
  <c r="AC20" i="8"/>
  <c r="J46" i="8"/>
  <c r="Y13" i="8"/>
  <c r="AG13" i="8"/>
  <c r="AA13" i="8"/>
  <c r="AE13" i="8"/>
  <c r="AK13" i="8"/>
  <c r="AC13" i="8"/>
  <c r="AI40" i="7"/>
  <c r="AJ40" i="7"/>
  <c r="AJ44" i="7"/>
  <c r="AI44" i="7"/>
  <c r="AF7" i="7"/>
  <c r="AH7" i="7"/>
  <c r="AG7" i="7"/>
  <c r="AF10" i="7"/>
  <c r="AG10" i="7"/>
  <c r="AI39" i="7"/>
  <c r="AJ39" i="7"/>
  <c r="AI37" i="7"/>
  <c r="AJ37" i="7"/>
  <c r="J63" i="7"/>
  <c r="AJ45" i="7"/>
  <c r="AI45" i="7"/>
  <c r="AI46" i="7"/>
  <c r="AJ46" i="7"/>
  <c r="AJ47" i="7"/>
  <c r="AI47" i="7"/>
  <c r="AJ50" i="7"/>
  <c r="AI50" i="7"/>
  <c r="AK40" i="7"/>
  <c r="M52" i="7"/>
  <c r="I75" i="9"/>
  <c r="J41" i="8"/>
  <c r="Y10" i="8"/>
  <c r="I82" i="9"/>
  <c r="J36" i="8"/>
  <c r="I80" i="9"/>
  <c r="J38" i="8"/>
  <c r="I81" i="9"/>
  <c r="J42" i="8"/>
  <c r="I78" i="9"/>
  <c r="J32" i="8"/>
  <c r="Y7" i="8"/>
  <c r="AE16" i="8"/>
  <c r="Y16" i="8"/>
  <c r="AG16" i="8"/>
  <c r="AA16" i="8"/>
  <c r="AC16" i="8"/>
  <c r="J47" i="8"/>
  <c r="F75" i="9"/>
  <c r="AF11" i="7"/>
  <c r="AG11" i="7"/>
  <c r="Z33" i="7"/>
  <c r="AH11" i="7"/>
  <c r="AJ42" i="7"/>
  <c r="AI42" i="7"/>
  <c r="AF9" i="7"/>
  <c r="AG9" i="7"/>
  <c r="Z32" i="7"/>
  <c r="AH9" i="7"/>
  <c r="J39" i="8"/>
  <c r="I86" i="9"/>
  <c r="I84" i="9"/>
  <c r="AC19" i="8"/>
  <c r="AA19" i="8"/>
  <c r="AG19" i="8"/>
  <c r="Y19" i="8"/>
  <c r="AE19" i="8"/>
  <c r="AK19" i="8"/>
  <c r="J44" i="8"/>
  <c r="I85" i="9"/>
  <c r="J37" i="8"/>
  <c r="J45" i="8"/>
  <c r="J30" i="8"/>
  <c r="J49" i="8"/>
  <c r="Y9" i="8"/>
  <c r="I77" i="9"/>
  <c r="J35" i="8"/>
  <c r="AJ35" i="7"/>
  <c r="AI35" i="7"/>
  <c r="J57" i="7"/>
  <c r="AJ51" i="7"/>
  <c r="AI51" i="7"/>
  <c r="AI49" i="7"/>
  <c r="AJ49" i="7"/>
  <c r="AI43" i="7"/>
  <c r="AJ43" i="7"/>
  <c r="AJ36" i="7"/>
  <c r="AI36" i="7"/>
  <c r="AK6" i="7"/>
  <c r="AJ6" i="7"/>
  <c r="AI6" i="7"/>
  <c r="AJ21" i="8"/>
  <c r="AI21" i="8"/>
  <c r="AK48" i="7"/>
  <c r="AK42" i="7"/>
  <c r="AK34" i="7"/>
  <c r="AK38" i="7"/>
  <c r="AK44" i="7"/>
  <c r="AK35" i="7"/>
  <c r="AK45" i="7"/>
  <c r="AK47" i="7"/>
  <c r="AK50" i="7"/>
  <c r="Y24" i="7"/>
  <c r="Z8" i="7"/>
  <c r="AG57" i="7"/>
  <c r="M57" i="7"/>
  <c r="AA57" i="7"/>
  <c r="AC57" i="7"/>
  <c r="AE57" i="7"/>
  <c r="AC35" i="8"/>
  <c r="AE35" i="8"/>
  <c r="M35" i="8"/>
  <c r="AG35" i="8"/>
  <c r="AA35" i="8"/>
  <c r="AA6" i="8"/>
  <c r="AA9" i="8"/>
  <c r="Z9" i="8"/>
  <c r="AE6" i="8"/>
  <c r="AA8" i="8"/>
  <c r="AC6" i="8"/>
  <c r="AA10" i="8"/>
  <c r="AA11" i="8"/>
  <c r="AC8" i="8"/>
  <c r="AC9" i="8"/>
  <c r="AC10" i="8"/>
  <c r="AC11" i="8"/>
  <c r="AE9" i="8"/>
  <c r="AD9" i="8"/>
  <c r="AD32" i="8"/>
  <c r="AB9" i="8"/>
  <c r="AB32" i="8"/>
  <c r="AG49" i="8"/>
  <c r="AA49" i="8"/>
  <c r="M49" i="8"/>
  <c r="AE49" i="8"/>
  <c r="AK49" i="8"/>
  <c r="AC49" i="8"/>
  <c r="M30" i="8"/>
  <c r="AE45" i="8"/>
  <c r="M45" i="8"/>
  <c r="AC45" i="8"/>
  <c r="AA45" i="8"/>
  <c r="AG45" i="8"/>
  <c r="AG6" i="8"/>
  <c r="I74" i="9"/>
  <c r="Y6" i="8"/>
  <c r="AA44" i="8"/>
  <c r="M44" i="8"/>
  <c r="AG44" i="8"/>
  <c r="AE44" i="8"/>
  <c r="AC44" i="8"/>
  <c r="AF33" i="7"/>
  <c r="AG33" i="7"/>
  <c r="AK33" i="7"/>
  <c r="AA33" i="7"/>
  <c r="AE47" i="8"/>
  <c r="AC47" i="8"/>
  <c r="AA47" i="8"/>
  <c r="M47" i="8"/>
  <c r="AG47" i="8"/>
  <c r="AE10" i="8"/>
  <c r="AD10" i="8"/>
  <c r="AB10" i="8"/>
  <c r="Z10" i="8"/>
  <c r="M41" i="8"/>
  <c r="AC41" i="8"/>
  <c r="AA41" i="8"/>
  <c r="AE41" i="8"/>
  <c r="AG41" i="8"/>
  <c r="AK7" i="7"/>
  <c r="AI7" i="7"/>
  <c r="AI13" i="8"/>
  <c r="AJ13" i="8"/>
  <c r="M46" i="8"/>
  <c r="AC46" i="8"/>
  <c r="AG46" i="8"/>
  <c r="AE46" i="8"/>
  <c r="AA46" i="8"/>
  <c r="AI20" i="8"/>
  <c r="AJ20" i="8"/>
  <c r="AB11" i="8"/>
  <c r="AB33" i="8"/>
  <c r="AE11" i="8"/>
  <c r="AD11" i="8"/>
  <c r="AD33" i="8"/>
  <c r="Z11" i="8"/>
  <c r="AC50" i="8"/>
  <c r="AG50" i="8"/>
  <c r="M50" i="8"/>
  <c r="AE50" i="8"/>
  <c r="AK50" i="8"/>
  <c r="AA50" i="8"/>
  <c r="AA48" i="8"/>
  <c r="AC48" i="8"/>
  <c r="AG48" i="8"/>
  <c r="AE48" i="8"/>
  <c r="M48" i="8"/>
  <c r="M31" i="8"/>
  <c r="AJ18" i="8"/>
  <c r="AI18" i="8"/>
  <c r="AC33" i="8"/>
  <c r="M33" i="8"/>
  <c r="AE33" i="8"/>
  <c r="AI17" i="8"/>
  <c r="AJ17" i="8"/>
  <c r="AA51" i="8"/>
  <c r="M51" i="8"/>
  <c r="AG51" i="8"/>
  <c r="AE51" i="8"/>
  <c r="AK51" i="8"/>
  <c r="AC51" i="8"/>
  <c r="AC40" i="8"/>
  <c r="AA40" i="8"/>
  <c r="AG40" i="8"/>
  <c r="AE40" i="8"/>
  <c r="AK40" i="8"/>
  <c r="M40" i="8"/>
  <c r="J52" i="8"/>
  <c r="M29" i="8"/>
  <c r="AG43" i="8"/>
  <c r="AA43" i="8"/>
  <c r="M43" i="8"/>
  <c r="AE43" i="8"/>
  <c r="AK43" i="8"/>
  <c r="AC43" i="8"/>
  <c r="AI15" i="8"/>
  <c r="AJ15" i="8"/>
  <c r="AK16" i="8"/>
  <c r="AH10" i="7"/>
  <c r="AK20" i="8"/>
  <c r="I79" i="9"/>
  <c r="AK12" i="8"/>
  <c r="AJ11" i="7"/>
  <c r="AG37" i="8"/>
  <c r="AA37" i="8"/>
  <c r="M37" i="8"/>
  <c r="AE37" i="8"/>
  <c r="AK37" i="8"/>
  <c r="AC37" i="8"/>
  <c r="M22" i="8"/>
  <c r="Y22" i="8"/>
  <c r="AJ19" i="8"/>
  <c r="AI19" i="8"/>
  <c r="AC39" i="8"/>
  <c r="AE39" i="8"/>
  <c r="AA39" i="8"/>
  <c r="AG39" i="8"/>
  <c r="M39" i="8"/>
  <c r="AF32" i="7"/>
  <c r="AG32" i="7"/>
  <c r="AK32" i="7"/>
  <c r="AA32" i="7"/>
  <c r="AI16" i="8"/>
  <c r="AJ16" i="8"/>
  <c r="AB7" i="8"/>
  <c r="AD7" i="8"/>
  <c r="Z7" i="8"/>
  <c r="M32" i="8"/>
  <c r="AE32" i="8"/>
  <c r="AC32" i="8"/>
  <c r="AG42" i="8"/>
  <c r="M42" i="8"/>
  <c r="AA42" i="8"/>
  <c r="AE42" i="8"/>
  <c r="AC42" i="8"/>
  <c r="AG38" i="8"/>
  <c r="M38" i="8"/>
  <c r="AA38" i="8"/>
  <c r="AE38" i="8"/>
  <c r="AK38" i="8"/>
  <c r="AC38" i="8"/>
  <c r="M36" i="8"/>
  <c r="AG36" i="8"/>
  <c r="AA36" i="8"/>
  <c r="AC36" i="8"/>
  <c r="AE36" i="8"/>
  <c r="AK36" i="8"/>
  <c r="I72" i="9"/>
  <c r="J62" i="7"/>
  <c r="M62" i="7"/>
  <c r="I83" i="9"/>
  <c r="AG34" i="8"/>
  <c r="M34" i="8"/>
  <c r="AA34" i="8"/>
  <c r="AE34" i="8"/>
  <c r="AK34" i="8"/>
  <c r="AC34" i="8"/>
  <c r="AJ14" i="8"/>
  <c r="AI14" i="8"/>
  <c r="AJ12" i="8"/>
  <c r="AI12" i="8"/>
  <c r="M101" i="8"/>
  <c r="M23" i="8"/>
  <c r="AK18" i="8"/>
  <c r="AK14" i="8"/>
  <c r="I76" i="9"/>
  <c r="AK15" i="8"/>
  <c r="J58" i="8"/>
  <c r="M58" i="8"/>
  <c r="J64" i="8"/>
  <c r="M64" i="8"/>
  <c r="N26" i="8"/>
  <c r="AB8" i="7"/>
  <c r="AB31" i="7"/>
  <c r="AC31" i="7"/>
  <c r="Y23" i="8"/>
  <c r="N23" i="8"/>
  <c r="AJ34" i="8"/>
  <c r="AI34" i="8"/>
  <c r="AJ38" i="8"/>
  <c r="AI38" i="8"/>
  <c r="AJ32" i="7"/>
  <c r="AI32" i="7"/>
  <c r="J61" i="8"/>
  <c r="M61" i="8"/>
  <c r="AJ43" i="8"/>
  <c r="AI43" i="8"/>
  <c r="AJ48" i="8"/>
  <c r="AI48" i="8"/>
  <c r="AF11" i="8"/>
  <c r="AG11" i="8"/>
  <c r="Z33" i="8"/>
  <c r="AH11" i="8"/>
  <c r="AI46" i="8"/>
  <c r="AJ46" i="8"/>
  <c r="AF10" i="8"/>
  <c r="AG10" i="8"/>
  <c r="AH10" i="8"/>
  <c r="AJ33" i="7"/>
  <c r="AI33" i="7"/>
  <c r="AI6" i="8"/>
  <c r="AJ6" i="8"/>
  <c r="AJ35" i="8"/>
  <c r="AI35" i="8"/>
  <c r="AK57" i="7"/>
  <c r="AJ57" i="7"/>
  <c r="AI57" i="7"/>
  <c r="AK42" i="8"/>
  <c r="AH32" i="7"/>
  <c r="AK39" i="8"/>
  <c r="AJ9" i="7"/>
  <c r="AK9" i="7"/>
  <c r="M52" i="8"/>
  <c r="AK41" i="8"/>
  <c r="AH33" i="7"/>
  <c r="AK44" i="8"/>
  <c r="Y24" i="8"/>
  <c r="AK45" i="8"/>
  <c r="AJ8" i="7"/>
  <c r="AJ10" i="7"/>
  <c r="J57" i="8"/>
  <c r="J63" i="8"/>
  <c r="AI36" i="8"/>
  <c r="AJ36" i="8"/>
  <c r="AJ42" i="8"/>
  <c r="AI42" i="8"/>
  <c r="AF7" i="8"/>
  <c r="AG7" i="8"/>
  <c r="AJ39" i="8"/>
  <c r="AI39" i="8"/>
  <c r="AI37" i="8"/>
  <c r="AJ37" i="8"/>
  <c r="AI40" i="8"/>
  <c r="AJ40" i="8"/>
  <c r="AJ51" i="8"/>
  <c r="AI51" i="8"/>
  <c r="AI50" i="8"/>
  <c r="AJ50" i="8"/>
  <c r="AJ41" i="8"/>
  <c r="AI41" i="8"/>
  <c r="AJ47" i="8"/>
  <c r="AI47" i="8"/>
  <c r="AI44" i="8"/>
  <c r="AJ44" i="8"/>
  <c r="AK6" i="8"/>
  <c r="AB8" i="8"/>
  <c r="AB31" i="8"/>
  <c r="AC31" i="8"/>
  <c r="AF9" i="8"/>
  <c r="AG9" i="8"/>
  <c r="AK9" i="8"/>
  <c r="AI45" i="8"/>
  <c r="AJ45" i="8"/>
  <c r="AJ49" i="8"/>
  <c r="AI49" i="8"/>
  <c r="Z32" i="8"/>
  <c r="AH9" i="8"/>
  <c r="AC30" i="7"/>
  <c r="AB30" i="7"/>
  <c r="AC29" i="7"/>
  <c r="Z31" i="7"/>
  <c r="AE8" i="7"/>
  <c r="AK10" i="7"/>
  <c r="AK48" i="8"/>
  <c r="AK46" i="8"/>
  <c r="AK47" i="8"/>
  <c r="AK35" i="8"/>
  <c r="M63" i="7"/>
  <c r="AD8" i="7"/>
  <c r="AA31" i="7"/>
  <c r="AC52" i="7"/>
  <c r="AC63" i="7"/>
  <c r="AB29" i="7"/>
  <c r="AF32" i="8"/>
  <c r="AG32" i="8"/>
  <c r="AK32" i="8"/>
  <c r="AH32" i="8"/>
  <c r="AA32" i="8"/>
  <c r="AK7" i="8"/>
  <c r="AI7" i="8"/>
  <c r="AA57" i="8"/>
  <c r="AE57" i="8"/>
  <c r="AG57" i="8"/>
  <c r="AC57" i="8"/>
  <c r="M57" i="8"/>
  <c r="AK11" i="7"/>
  <c r="AI11" i="7"/>
  <c r="AJ10" i="8"/>
  <c r="AJ9" i="8"/>
  <c r="AI9" i="8"/>
  <c r="AJ8" i="8"/>
  <c r="Z8" i="8"/>
  <c r="AK11" i="8"/>
  <c r="AI9" i="7"/>
  <c r="J62" i="8"/>
  <c r="M62" i="8"/>
  <c r="AJ11" i="8"/>
  <c r="AI11" i="8"/>
  <c r="AF33" i="8"/>
  <c r="AG33" i="8"/>
  <c r="AK33" i="8"/>
  <c r="AA33" i="8"/>
  <c r="AK10" i="8"/>
  <c r="AE8" i="8"/>
  <c r="AH7" i="8"/>
  <c r="AI10" i="7"/>
  <c r="Z31" i="8"/>
  <c r="AC29" i="8"/>
  <c r="AC30" i="8"/>
  <c r="AB30" i="8"/>
  <c r="AK57" i="8"/>
  <c r="AI32" i="8"/>
  <c r="AJ32" i="8"/>
  <c r="AJ31" i="7"/>
  <c r="AA29" i="7"/>
  <c r="AA30" i="7"/>
  <c r="AD31" i="7"/>
  <c r="AF8" i="7"/>
  <c r="AG8" i="7"/>
  <c r="AH33" i="8"/>
  <c r="AD8" i="8"/>
  <c r="AD31" i="8"/>
  <c r="AE31" i="8"/>
  <c r="AI33" i="8"/>
  <c r="AJ33" i="8"/>
  <c r="AJ57" i="8"/>
  <c r="AI57" i="8"/>
  <c r="AI10" i="8"/>
  <c r="M63" i="8"/>
  <c r="AE31" i="7"/>
  <c r="AF31" i="7"/>
  <c r="AG31" i="7"/>
  <c r="AA52" i="7"/>
  <c r="AJ29" i="7"/>
  <c r="Z29" i="7"/>
  <c r="AH8" i="7"/>
  <c r="AE30" i="8"/>
  <c r="AF8" i="8"/>
  <c r="AG8" i="8"/>
  <c r="AI8" i="7"/>
  <c r="AK8" i="7"/>
  <c r="AJ30" i="7"/>
  <c r="Z30" i="7"/>
  <c r="AC52" i="8"/>
  <c r="AC63" i="8"/>
  <c r="AB29" i="8"/>
  <c r="AF31" i="8"/>
  <c r="AG31" i="8"/>
  <c r="AK31" i="8"/>
  <c r="AA31" i="8"/>
  <c r="AE29" i="8"/>
  <c r="AE52" i="8"/>
  <c r="AE63" i="8"/>
  <c r="AD29" i="8"/>
  <c r="AA63" i="7"/>
  <c r="AH31" i="8"/>
  <c r="AH8" i="8"/>
  <c r="AH31" i="7"/>
  <c r="AJ31" i="8"/>
  <c r="AI31" i="8"/>
  <c r="AA29" i="8"/>
  <c r="AA30" i="8"/>
  <c r="AK8" i="8"/>
  <c r="AI8" i="8"/>
  <c r="AD30" i="8"/>
  <c r="AK31" i="7"/>
  <c r="AE30" i="7"/>
  <c r="AE29" i="7"/>
  <c r="AI31" i="7"/>
  <c r="AJ52" i="7"/>
  <c r="AE52" i="7"/>
  <c r="AE63" i="7"/>
  <c r="AD29" i="7"/>
  <c r="AJ30" i="8"/>
  <c r="Z30" i="8"/>
  <c r="AD30" i="7"/>
  <c r="AA52" i="8"/>
  <c r="AJ29" i="8"/>
  <c r="AJ52" i="8"/>
  <c r="Z29" i="8"/>
  <c r="AJ63" i="7"/>
  <c r="AF29" i="8"/>
  <c r="AG29" i="8"/>
  <c r="AF30" i="8"/>
  <c r="AG30" i="8"/>
  <c r="AH30" i="8"/>
  <c r="AF29" i="7"/>
  <c r="AG29" i="7"/>
  <c r="AA63" i="8"/>
  <c r="AF30" i="7"/>
  <c r="AG30" i="7"/>
  <c r="AJ63" i="8"/>
  <c r="AK30" i="8"/>
  <c r="AI30" i="8"/>
  <c r="AH30" i="7"/>
  <c r="AH29" i="7"/>
  <c r="AH29" i="8"/>
  <c r="AK30" i="7"/>
  <c r="AI30" i="7"/>
  <c r="AG52" i="7"/>
  <c r="AK29" i="7"/>
  <c r="AI29" i="7"/>
  <c r="AI52" i="7"/>
  <c r="AG52" i="8"/>
  <c r="AK29" i="8"/>
  <c r="AK52" i="8"/>
  <c r="AI29" i="8"/>
  <c r="AI52" i="8"/>
  <c r="AG63" i="8"/>
  <c r="AA65" i="8"/>
  <c r="AG62" i="8"/>
  <c r="AA66" i="8"/>
  <c r="AK52" i="7"/>
  <c r="AG62" i="7"/>
  <c r="AG63" i="7"/>
  <c r="AA65" i="7"/>
  <c r="AA66" i="7"/>
  <c r="AA22" i="8"/>
  <c r="AA22" i="7"/>
  <c r="AI63" i="7"/>
  <c r="AK63" i="7"/>
  <c r="AK63" i="8"/>
  <c r="AI63" i="8"/>
  <c r="AA61" i="7"/>
  <c r="Z22" i="7"/>
  <c r="AA24" i="7"/>
  <c r="AA23" i="7"/>
  <c r="AA61" i="8"/>
  <c r="Z22" i="8"/>
  <c r="AA24" i="8"/>
  <c r="AA23" i="8"/>
  <c r="AA64" i="8"/>
  <c r="AA64" i="7"/>
  <c r="AC66" i="7"/>
  <c r="AA62" i="7"/>
  <c r="AC66" i="8"/>
  <c r="AA62" i="8"/>
  <c r="AC65" i="8"/>
  <c r="AC22" i="7"/>
  <c r="AC22" i="8"/>
  <c r="AC65" i="7"/>
  <c r="AC61" i="8"/>
  <c r="AB22" i="8"/>
  <c r="AC24" i="8"/>
  <c r="AC23" i="8"/>
  <c r="AJ22" i="8"/>
  <c r="AC61" i="7"/>
  <c r="AB22" i="7"/>
  <c r="AC24" i="7"/>
  <c r="AC23" i="7"/>
  <c r="AJ22" i="7"/>
  <c r="AC64" i="7"/>
  <c r="AJ23" i="7"/>
  <c r="AJ61" i="7"/>
  <c r="AJ62" i="7"/>
  <c r="AE66" i="7"/>
  <c r="AC62" i="7"/>
  <c r="AJ24" i="7"/>
  <c r="AC64" i="8"/>
  <c r="AJ23" i="8"/>
  <c r="AJ61" i="8"/>
  <c r="AJ62" i="8"/>
  <c r="AC62" i="8"/>
  <c r="AE66" i="8"/>
  <c r="AJ24" i="8"/>
  <c r="AE22" i="8"/>
  <c r="AJ64" i="8"/>
  <c r="AE65" i="7"/>
  <c r="AJ64" i="7"/>
  <c r="AE65" i="8"/>
  <c r="AE22" i="7"/>
  <c r="AE61" i="7"/>
  <c r="AD22" i="7"/>
  <c r="AE24" i="7"/>
  <c r="AE23" i="7"/>
  <c r="AE61" i="8"/>
  <c r="AD22" i="8"/>
  <c r="AE24" i="8"/>
  <c r="AE23" i="8"/>
  <c r="AE64" i="8"/>
  <c r="AG66" i="8"/>
  <c r="AG22" i="8"/>
  <c r="AE62" i="8"/>
  <c r="AG65" i="8"/>
  <c r="AE62" i="7"/>
  <c r="AG65" i="7"/>
  <c r="AG66" i="7"/>
  <c r="AG22" i="7"/>
  <c r="AE64" i="7"/>
  <c r="AG61" i="7"/>
  <c r="AF22" i="7"/>
  <c r="AH22" i="7"/>
  <c r="AG24" i="7"/>
  <c r="AG23" i="7"/>
  <c r="AK22" i="7"/>
  <c r="AI22" i="7"/>
  <c r="AG61" i="8"/>
  <c r="AF22" i="8"/>
  <c r="AH22" i="8"/>
  <c r="AG24" i="8"/>
  <c r="AG23" i="8"/>
  <c r="AK22" i="8"/>
  <c r="AI22" i="8"/>
  <c r="AG64" i="7"/>
  <c r="AK23" i="7"/>
  <c r="AI23" i="7"/>
  <c r="AK61" i="7"/>
  <c r="AK62" i="7"/>
  <c r="AI61" i="7"/>
  <c r="AI62" i="7"/>
  <c r="AG64" i="8"/>
  <c r="AK23" i="8"/>
  <c r="AK24" i="8"/>
  <c r="AI23" i="8"/>
  <c r="AK61" i="8"/>
  <c r="AK62" i="8"/>
  <c r="AI61" i="8"/>
  <c r="AI62" i="8"/>
  <c r="AK24" i="7"/>
  <c r="AI64" i="7"/>
  <c r="AK64" i="7"/>
  <c r="AK64" i="8"/>
  <c r="AI64" i="8"/>
  <c r="AA6" i="12"/>
  <c r="AA12" i="12"/>
  <c r="AA13" i="12"/>
  <c r="AA14" i="12"/>
  <c r="AA15" i="12"/>
  <c r="AA16" i="12"/>
  <c r="AA17" i="12"/>
  <c r="AA18" i="12"/>
  <c r="AA19" i="12"/>
  <c r="AA20" i="12"/>
  <c r="M21" i="12"/>
  <c r="AA21" i="12"/>
  <c r="Y8" i="12"/>
  <c r="AA8" i="12"/>
  <c r="Y9" i="12"/>
  <c r="AA9" i="12"/>
  <c r="Y10" i="12"/>
  <c r="AA10" i="12"/>
  <c r="Y11" i="12"/>
  <c r="AA11" i="12"/>
  <c r="J57" i="12"/>
  <c r="AA57" i="12"/>
  <c r="J31" i="12"/>
  <c r="Z8" i="12"/>
  <c r="Z31" i="12"/>
  <c r="AA31" i="12"/>
  <c r="J32" i="12"/>
  <c r="Z9" i="12"/>
  <c r="Z32" i="12"/>
  <c r="AA32" i="12"/>
  <c r="J33" i="12"/>
  <c r="Z11" i="12"/>
  <c r="Z33" i="12"/>
  <c r="AA33" i="12"/>
  <c r="J34" i="12"/>
  <c r="AA34" i="12"/>
  <c r="J35" i="12"/>
  <c r="AA35" i="12"/>
  <c r="J36" i="12"/>
  <c r="AA36" i="12"/>
  <c r="J37" i="12"/>
  <c r="AA37" i="12"/>
  <c r="J38" i="12"/>
  <c r="AA38" i="12"/>
  <c r="J39" i="12"/>
  <c r="AA39" i="12"/>
  <c r="J40" i="12"/>
  <c r="AA40" i="12"/>
  <c r="J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29" i="12"/>
  <c r="J30" i="12"/>
  <c r="AA29" i="12"/>
  <c r="AA30" i="12"/>
  <c r="AA52" i="12"/>
  <c r="AG6" i="12"/>
  <c r="Y7" i="12"/>
  <c r="Z7" i="12"/>
  <c r="AB7" i="12"/>
  <c r="AD7" i="12"/>
  <c r="AF7" i="12"/>
  <c r="AG7" i="12"/>
  <c r="AC6" i="12"/>
  <c r="AC12" i="12"/>
  <c r="AC13" i="12"/>
  <c r="AC14" i="12"/>
  <c r="AC15" i="12"/>
  <c r="AC16" i="12"/>
  <c r="AC17" i="12"/>
  <c r="AC18" i="12"/>
  <c r="AC19" i="12"/>
  <c r="AC20" i="12"/>
  <c r="AC21" i="12"/>
  <c r="AC8" i="12"/>
  <c r="AB8" i="12"/>
  <c r="AE6" i="12"/>
  <c r="AE12" i="12"/>
  <c r="AE13" i="12"/>
  <c r="AE14" i="12"/>
  <c r="AE15" i="12"/>
  <c r="AE16" i="12"/>
  <c r="AE17" i="12"/>
  <c r="AE18" i="12"/>
  <c r="AE19" i="12"/>
  <c r="AE20" i="12"/>
  <c r="AE21" i="12"/>
  <c r="AC9" i="12"/>
  <c r="AC10" i="12"/>
  <c r="AC11" i="12"/>
  <c r="AE8" i="12"/>
  <c r="AD8" i="12"/>
  <c r="AF8" i="12"/>
  <c r="AG8" i="12"/>
  <c r="AB9" i="12"/>
  <c r="AE9" i="12"/>
  <c r="AD9" i="12"/>
  <c r="AF9" i="12"/>
  <c r="AG9" i="12"/>
  <c r="Z10" i="12"/>
  <c r="AB10" i="12"/>
  <c r="AE10" i="12"/>
  <c r="AD10" i="12"/>
  <c r="AF10" i="12"/>
  <c r="AG10" i="12"/>
  <c r="AB11" i="12"/>
  <c r="AE11" i="12"/>
  <c r="AD11" i="12"/>
  <c r="AF11" i="12"/>
  <c r="AG11" i="12"/>
  <c r="AG12" i="12"/>
  <c r="AG13" i="12"/>
  <c r="AG14" i="12"/>
  <c r="AG15" i="12"/>
  <c r="AG16" i="12"/>
  <c r="AG17" i="12"/>
  <c r="AG18" i="12"/>
  <c r="AG19" i="12"/>
  <c r="AG20" i="12"/>
  <c r="AG21" i="12"/>
  <c r="Z29" i="12"/>
  <c r="AC57" i="12"/>
  <c r="AB31" i="12"/>
  <c r="AC31" i="12"/>
  <c r="AB32" i="12"/>
  <c r="AC32" i="12"/>
  <c r="AB33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29" i="12"/>
  <c r="AB29" i="12"/>
  <c r="AE57" i="12"/>
  <c r="AD31" i="12"/>
  <c r="AE31" i="12"/>
  <c r="AD32" i="12"/>
  <c r="AE32" i="12"/>
  <c r="AD33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C30" i="12"/>
  <c r="AE29" i="12"/>
  <c r="AD29" i="12"/>
  <c r="AF29" i="12"/>
  <c r="AG29" i="12"/>
  <c r="Z30" i="12"/>
  <c r="AB30" i="12"/>
  <c r="AD30" i="12"/>
  <c r="AF30" i="12"/>
  <c r="AG30" i="12"/>
  <c r="AF31" i="12"/>
  <c r="AG31" i="12"/>
  <c r="AF32" i="12"/>
  <c r="AG32" i="12"/>
  <c r="AF33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7" i="12"/>
  <c r="J62" i="12"/>
  <c r="AA66" i="12"/>
  <c r="AA22" i="12"/>
  <c r="AA24" i="12"/>
  <c r="Y6" i="12"/>
  <c r="Y12" i="12"/>
  <c r="Y13" i="12"/>
  <c r="Y14" i="12"/>
  <c r="Y15" i="12"/>
  <c r="Y16" i="12"/>
  <c r="Y17" i="12"/>
  <c r="Y18" i="12"/>
  <c r="Y19" i="12"/>
  <c r="Y20" i="12"/>
  <c r="Y21" i="12"/>
  <c r="M22" i="12"/>
  <c r="Y22" i="12"/>
  <c r="J23" i="12"/>
  <c r="M23" i="12"/>
  <c r="Y23" i="12"/>
  <c r="Y24" i="12"/>
  <c r="AA23" i="12"/>
  <c r="AA64" i="12"/>
  <c r="AA61" i="12"/>
  <c r="AC52" i="12"/>
  <c r="AC66" i="12"/>
  <c r="AC22" i="12"/>
  <c r="AC24" i="12"/>
  <c r="AC23" i="12"/>
  <c r="AC64" i="12"/>
  <c r="AC61" i="12"/>
  <c r="AE30" i="12"/>
  <c r="AE52" i="12"/>
  <c r="AE66" i="12"/>
  <c r="AE22" i="12"/>
  <c r="AE24" i="12"/>
  <c r="AE23" i="12"/>
  <c r="AE64" i="12"/>
  <c r="AE61" i="12"/>
  <c r="AG66" i="12"/>
  <c r="AG22" i="12"/>
  <c r="AG24" i="12"/>
  <c r="AG23" i="12"/>
  <c r="AG64" i="12"/>
  <c r="AI64" i="12"/>
  <c r="AK64" i="12"/>
  <c r="AK6" i="12"/>
  <c r="AK7" i="12"/>
  <c r="AK8" i="12"/>
  <c r="AK9" i="12"/>
  <c r="AK10" i="12"/>
  <c r="AK11" i="12"/>
  <c r="AK12" i="12"/>
  <c r="AK13" i="12"/>
  <c r="AK14" i="12"/>
  <c r="AK15" i="12"/>
  <c r="AK16" i="12"/>
  <c r="AK17" i="12"/>
  <c r="AK18" i="12"/>
  <c r="AK19" i="12"/>
  <c r="AK20" i="12"/>
  <c r="AK21" i="12"/>
  <c r="AK22" i="12"/>
  <c r="AK23" i="12"/>
  <c r="AK24" i="12"/>
  <c r="AA63" i="12"/>
  <c r="AC63" i="12"/>
  <c r="AE63" i="12"/>
  <c r="AG63" i="12"/>
  <c r="AI63" i="12"/>
  <c r="AI57" i="12"/>
  <c r="AG61" i="12"/>
  <c r="AI61" i="12"/>
  <c r="AI62" i="12"/>
  <c r="AJ63" i="12"/>
  <c r="AJ57" i="12"/>
  <c r="AJ61" i="12"/>
  <c r="AJ62" i="12"/>
  <c r="AK63" i="12"/>
  <c r="AK57" i="12"/>
  <c r="AK61" i="12"/>
  <c r="AK62" i="12"/>
  <c r="AI23" i="12"/>
  <c r="AI22" i="12"/>
  <c r="Z22" i="12"/>
  <c r="AB22" i="12"/>
  <c r="AD22" i="12"/>
  <c r="AF22" i="12"/>
  <c r="AH22" i="12"/>
  <c r="AA62" i="12"/>
  <c r="AC62" i="12"/>
  <c r="AE62" i="12"/>
  <c r="AG65" i="12"/>
  <c r="AE65" i="12"/>
  <c r="AJ64" i="12"/>
  <c r="AJ6" i="12"/>
  <c r="AJ8" i="12"/>
  <c r="AJ9" i="12"/>
  <c r="AJ10" i="12"/>
  <c r="AJ11" i="12"/>
  <c r="AJ12" i="12"/>
  <c r="AJ13" i="12"/>
  <c r="AJ14" i="12"/>
  <c r="AJ15" i="12"/>
  <c r="AJ16" i="12"/>
  <c r="AJ17" i="12"/>
  <c r="AJ18" i="12"/>
  <c r="AJ19" i="12"/>
  <c r="AJ20" i="12"/>
  <c r="AJ21" i="12"/>
  <c r="AJ22" i="12"/>
  <c r="AJ23" i="12"/>
  <c r="AJ24" i="12"/>
  <c r="AC65" i="12"/>
  <c r="AJ29" i="12"/>
  <c r="AJ30" i="12"/>
  <c r="AJ31" i="12"/>
  <c r="AJ32" i="12"/>
  <c r="AJ33" i="12"/>
  <c r="AJ34" i="12"/>
  <c r="AJ35" i="12"/>
  <c r="AJ36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52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K29" i="12"/>
  <c r="AK30" i="12"/>
  <c r="AK31" i="12"/>
  <c r="AK32" i="12"/>
  <c r="AK33" i="12"/>
  <c r="AK34" i="12"/>
  <c r="AK35" i="12"/>
  <c r="AK36" i="12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52" i="12"/>
  <c r="AG62" i="12"/>
  <c r="AA65" i="12"/>
  <c r="AI9" i="12"/>
  <c r="AH9" i="12"/>
  <c r="AH32" i="12"/>
  <c r="AI11" i="12"/>
  <c r="AH33" i="12"/>
  <c r="AH11" i="12"/>
  <c r="AH10" i="12"/>
  <c r="AH30" i="12"/>
  <c r="AH7" i="12"/>
  <c r="AI10" i="12"/>
  <c r="AI8" i="12"/>
  <c r="AH31" i="12"/>
  <c r="M57" i="12"/>
  <c r="J58" i="12"/>
  <c r="M58" i="12"/>
  <c r="J61" i="12"/>
  <c r="M61" i="12"/>
  <c r="M62" i="12"/>
  <c r="M63" i="12"/>
  <c r="AI7" i="12"/>
  <c r="AH8" i="12"/>
  <c r="J63" i="12"/>
  <c r="J64" i="12"/>
  <c r="M64" i="12"/>
  <c r="N64" i="12"/>
  <c r="AI6" i="12"/>
  <c r="AH29" i="12"/>
  <c r="AI12" i="12"/>
  <c r="M101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J52" i="12"/>
  <c r="AI13" i="12"/>
  <c r="F72" i="9"/>
  <c r="AI17" i="12"/>
  <c r="N23" i="12"/>
  <c r="AI18" i="12"/>
  <c r="F83" i="9"/>
  <c r="F76" i="9"/>
  <c r="F79" i="9"/>
  <c r="AI19" i="12"/>
  <c r="AI16" i="12"/>
  <c r="F74" i="9"/>
  <c r="AI14" i="12"/>
  <c r="AI20" i="12"/>
  <c r="AI21" i="12"/>
  <c r="AI15" i="12"/>
  <c r="F87" i="9"/>
  <c r="F77" i="9"/>
  <c r="F73" i="9"/>
  <c r="F80" i="9"/>
  <c r="F86" i="9"/>
  <c r="F78" i="9"/>
  <c r="F82" i="9"/>
  <c r="F85" i="9"/>
  <c r="F81" i="9"/>
  <c r="L64" i="12"/>
  <c r="L58" i="12"/>
  <c r="L62" i="12"/>
  <c r="L63" i="12"/>
  <c r="K58" i="12"/>
  <c r="K62" i="12"/>
  <c r="K63" i="12"/>
  <c r="B40" i="13"/>
  <c r="AV40" i="13"/>
  <c r="AX40" i="13"/>
  <c r="AZ40" i="13"/>
  <c r="AY40" i="13"/>
  <c r="AT40" i="13"/>
  <c r="AU40" i="13"/>
  <c r="BA40" i="13"/>
  <c r="AW40" i="13"/>
  <c r="BB40" i="13"/>
  <c r="AS40" i="13"/>
  <c r="B18" i="13"/>
  <c r="AY18" i="13"/>
  <c r="AV18" i="13"/>
  <c r="AW18" i="13"/>
  <c r="AZ18" i="13"/>
  <c r="AS18" i="13"/>
  <c r="AT18" i="13"/>
  <c r="BA18" i="13"/>
  <c r="AX18" i="13"/>
  <c r="AU18" i="13"/>
  <c r="BB18" i="13"/>
  <c r="X18" i="13"/>
  <c r="N18" i="13"/>
  <c r="AJ18" i="13"/>
  <c r="Y18" i="13"/>
  <c r="P18" i="13"/>
  <c r="O18" i="13"/>
  <c r="F18" i="13"/>
  <c r="K18" i="13"/>
  <c r="AM18" i="13"/>
  <c r="J18" i="13"/>
  <c r="AG18" i="13"/>
  <c r="AA18" i="13"/>
  <c r="AF18" i="13"/>
  <c r="AO18" i="13"/>
  <c r="H18" i="13"/>
  <c r="AI18" i="13"/>
  <c r="U18" i="13"/>
  <c r="AC18" i="13"/>
  <c r="AB18" i="13"/>
  <c r="M18" i="13"/>
  <c r="AE18" i="13"/>
  <c r="AR18" i="13"/>
  <c r="G18" i="13"/>
  <c r="Z18" i="13"/>
  <c r="W18" i="13"/>
  <c r="AN18" i="13"/>
  <c r="Q18" i="13"/>
  <c r="AH18" i="13"/>
  <c r="AQ18" i="13"/>
  <c r="AK18" i="13"/>
  <c r="I18" i="13"/>
  <c r="T18" i="13"/>
  <c r="V18" i="13"/>
  <c r="S18" i="13"/>
  <c r="L18" i="13"/>
  <c r="AL18" i="13"/>
  <c r="AD18" i="13"/>
  <c r="R18" i="13"/>
  <c r="AP18" i="13"/>
  <c r="U40" i="13"/>
  <c r="W40" i="13"/>
  <c r="AO40" i="13"/>
  <c r="Q40" i="13"/>
  <c r="N40" i="13"/>
  <c r="AL40" i="13"/>
  <c r="I40" i="13"/>
  <c r="AH40" i="13"/>
  <c r="AA40" i="13"/>
  <c r="S40" i="13"/>
  <c r="H40" i="13"/>
  <c r="AN40" i="13"/>
  <c r="K40" i="13"/>
  <c r="AJ40" i="13"/>
  <c r="Z40" i="13"/>
  <c r="AR40" i="13"/>
  <c r="R40" i="13"/>
  <c r="Y40" i="13"/>
  <c r="AE40" i="13"/>
  <c r="AQ40" i="13"/>
  <c r="O40" i="13"/>
  <c r="AF40" i="13"/>
  <c r="AP40" i="13"/>
  <c r="F40" i="13"/>
  <c r="G40" i="13"/>
  <c r="T40" i="13"/>
  <c r="X40" i="13"/>
  <c r="AK40" i="13"/>
  <c r="AB40" i="13"/>
  <c r="M40" i="13"/>
  <c r="L40" i="13"/>
  <c r="AI40" i="13"/>
  <c r="J40" i="13"/>
  <c r="AG40" i="13"/>
  <c r="P40" i="13"/>
  <c r="AM40" i="13"/>
  <c r="AD40" i="13"/>
  <c r="V40" i="13"/>
  <c r="AC40" i="13"/>
  <c r="F94" i="9"/>
  <c r="AA58" i="12"/>
  <c r="AC58" i="12"/>
  <c r="AE58" i="12"/>
  <c r="AG58" i="12"/>
  <c r="AI58" i="12"/>
  <c r="AK58" i="12"/>
  <c r="I64" i="12"/>
  <c r="AJ58" i="12"/>
  <c r="O107" i="12"/>
  <c r="AA6" i="1"/>
  <c r="AA12" i="1"/>
  <c r="AA13" i="1"/>
  <c r="AA14" i="1"/>
  <c r="AA15" i="1"/>
  <c r="AA16" i="1"/>
  <c r="AA17" i="1"/>
  <c r="AA18" i="1"/>
  <c r="AA19" i="1"/>
  <c r="AA20" i="1"/>
  <c r="J21" i="1"/>
  <c r="M21" i="1"/>
  <c r="AA21" i="1"/>
  <c r="Y8" i="1"/>
  <c r="AA8" i="1"/>
  <c r="Y9" i="1"/>
  <c r="AA9" i="1"/>
  <c r="Y10" i="1"/>
  <c r="AA10" i="1"/>
  <c r="Y11" i="1"/>
  <c r="AA11" i="1"/>
  <c r="J101" i="1"/>
  <c r="J106" i="1"/>
  <c r="J57" i="1"/>
  <c r="AA57" i="1"/>
  <c r="J31" i="1"/>
  <c r="Z8" i="1"/>
  <c r="Z31" i="1"/>
  <c r="AA31" i="1"/>
  <c r="J32" i="1"/>
  <c r="Z9" i="1"/>
  <c r="Z32" i="1"/>
  <c r="AA32" i="1"/>
  <c r="J33" i="1"/>
  <c r="Z11" i="1"/>
  <c r="Z33" i="1"/>
  <c r="AA33" i="1"/>
  <c r="J34" i="1"/>
  <c r="AA34" i="1"/>
  <c r="J35" i="1"/>
  <c r="AA35" i="1"/>
  <c r="J36" i="1"/>
  <c r="AA36" i="1"/>
  <c r="J37" i="1"/>
  <c r="AA37" i="1"/>
  <c r="J38" i="1"/>
  <c r="AA38" i="1"/>
  <c r="J39" i="1"/>
  <c r="AA39" i="1"/>
  <c r="J40" i="1"/>
  <c r="AA40" i="1"/>
  <c r="J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0" i="1"/>
  <c r="AA50" i="1"/>
  <c r="J51" i="1"/>
  <c r="AA51" i="1"/>
  <c r="AA29" i="1"/>
  <c r="AA30" i="1"/>
  <c r="AA52" i="1"/>
  <c r="AG6" i="1"/>
  <c r="Y7" i="1"/>
  <c r="Z7" i="1"/>
  <c r="AB7" i="1"/>
  <c r="AD7" i="1"/>
  <c r="AF7" i="1"/>
  <c r="AG7" i="1"/>
  <c r="AC6" i="1"/>
  <c r="AC12" i="1"/>
  <c r="AC13" i="1"/>
  <c r="AC14" i="1"/>
  <c r="AC15" i="1"/>
  <c r="AC16" i="1"/>
  <c r="AC17" i="1"/>
  <c r="AC18" i="1"/>
  <c r="AC19" i="1"/>
  <c r="AC20" i="1"/>
  <c r="AC21" i="1"/>
  <c r="AC8" i="1"/>
  <c r="AB8" i="1"/>
  <c r="AE6" i="1"/>
  <c r="AE12" i="1"/>
  <c r="AE13" i="1"/>
  <c r="AE14" i="1"/>
  <c r="AE15" i="1"/>
  <c r="AE16" i="1"/>
  <c r="AE17" i="1"/>
  <c r="AE18" i="1"/>
  <c r="AE19" i="1"/>
  <c r="AE20" i="1"/>
  <c r="AE21" i="1"/>
  <c r="AC9" i="1"/>
  <c r="AC10" i="1"/>
  <c r="AC11" i="1"/>
  <c r="AE8" i="1"/>
  <c r="AD8" i="1"/>
  <c r="AF8" i="1"/>
  <c r="AG8" i="1"/>
  <c r="AB9" i="1"/>
  <c r="AE9" i="1"/>
  <c r="AD9" i="1"/>
  <c r="AF9" i="1"/>
  <c r="AG9" i="1"/>
  <c r="Z10" i="1"/>
  <c r="AB10" i="1"/>
  <c r="AE10" i="1"/>
  <c r="AD10" i="1"/>
  <c r="AF10" i="1"/>
  <c r="AG10" i="1"/>
  <c r="AB11" i="1"/>
  <c r="AE11" i="1"/>
  <c r="AD11" i="1"/>
  <c r="AF11" i="1"/>
  <c r="AG11" i="1"/>
  <c r="AG12" i="1"/>
  <c r="AG13" i="1"/>
  <c r="AG14" i="1"/>
  <c r="AG15" i="1"/>
  <c r="AG16" i="1"/>
  <c r="AG17" i="1"/>
  <c r="AG18" i="1"/>
  <c r="AG19" i="1"/>
  <c r="AG20" i="1"/>
  <c r="AG21" i="1"/>
  <c r="J29" i="1"/>
  <c r="Z29" i="1"/>
  <c r="AC57" i="1"/>
  <c r="AB31" i="1"/>
  <c r="AC31" i="1"/>
  <c r="AB32" i="1"/>
  <c r="AC32" i="1"/>
  <c r="AB33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29" i="1"/>
  <c r="AB29" i="1"/>
  <c r="AE57" i="1"/>
  <c r="AD31" i="1"/>
  <c r="AE31" i="1"/>
  <c r="AD32" i="1"/>
  <c r="AE32" i="1"/>
  <c r="AD33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29" i="1"/>
  <c r="AD29" i="1"/>
  <c r="AF29" i="1"/>
  <c r="AG29" i="1"/>
  <c r="J30" i="1"/>
  <c r="Z30" i="1"/>
  <c r="AB30" i="1"/>
  <c r="AD30" i="1"/>
  <c r="AF30" i="1"/>
  <c r="AG30" i="1"/>
  <c r="AF31" i="1"/>
  <c r="AG31" i="1"/>
  <c r="AF32" i="1"/>
  <c r="AG32" i="1"/>
  <c r="AF33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7" i="1"/>
  <c r="J112" i="1"/>
  <c r="J107" i="1"/>
  <c r="J22" i="1"/>
  <c r="J110" i="1"/>
  <c r="J108" i="1"/>
  <c r="J109" i="1"/>
  <c r="J111" i="1"/>
  <c r="J62" i="1"/>
  <c r="AA66" i="1"/>
  <c r="AA22" i="1"/>
  <c r="AA24" i="1"/>
  <c r="Y6" i="1"/>
  <c r="Y12" i="1"/>
  <c r="Y13" i="1"/>
  <c r="Y14" i="1"/>
  <c r="Y15" i="1"/>
  <c r="Y16" i="1"/>
  <c r="Y17" i="1"/>
  <c r="Y18" i="1"/>
  <c r="Y19" i="1"/>
  <c r="Y20" i="1"/>
  <c r="Y21" i="1"/>
  <c r="M22" i="1"/>
  <c r="Y22" i="1"/>
  <c r="J23" i="1"/>
  <c r="M23" i="1"/>
  <c r="Y23" i="1"/>
  <c r="Y24" i="1"/>
  <c r="AA23" i="1"/>
  <c r="AA64" i="1"/>
  <c r="AA61" i="1"/>
  <c r="AC30" i="1"/>
  <c r="AC52" i="1"/>
  <c r="AC66" i="1"/>
  <c r="AC22" i="1"/>
  <c r="AC24" i="1"/>
  <c r="AC23" i="1"/>
  <c r="AC64" i="1"/>
  <c r="AC61" i="1"/>
  <c r="AE30" i="1"/>
  <c r="AE52" i="1"/>
  <c r="AE66" i="1"/>
  <c r="AE22" i="1"/>
  <c r="AE24" i="1"/>
  <c r="AE23" i="1"/>
  <c r="AE64" i="1"/>
  <c r="AE61" i="1"/>
  <c r="AG66" i="1"/>
  <c r="AG22" i="1"/>
  <c r="AG24" i="1"/>
  <c r="AG23" i="1"/>
  <c r="AG64" i="1"/>
  <c r="AI64" i="1"/>
  <c r="AK64" i="1"/>
  <c r="AA63" i="1"/>
  <c r="AC63" i="1"/>
  <c r="AJ63" i="1"/>
  <c r="AJ57" i="1"/>
  <c r="AJ61" i="1"/>
  <c r="AJ62" i="1"/>
  <c r="AE63" i="1"/>
  <c r="AG63" i="1"/>
  <c r="AK63" i="1"/>
  <c r="AK57" i="1"/>
  <c r="AG61" i="1"/>
  <c r="AK61" i="1"/>
  <c r="AK62" i="1"/>
  <c r="AI63" i="1"/>
  <c r="AI57" i="1"/>
  <c r="AI61" i="1"/>
  <c r="AI62" i="1"/>
  <c r="AI23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I22" i="1"/>
  <c r="Z22" i="1"/>
  <c r="AB22" i="1"/>
  <c r="AD22" i="1"/>
  <c r="AF22" i="1"/>
  <c r="AH22" i="1"/>
  <c r="AA62" i="1"/>
  <c r="AC62" i="1"/>
  <c r="AE62" i="1"/>
  <c r="AG65" i="1"/>
  <c r="AE65" i="1"/>
  <c r="AJ64" i="1"/>
  <c r="AJ6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C65" i="1"/>
  <c r="AA65" i="1"/>
  <c r="AG62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H30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H32" i="1"/>
  <c r="AI8" i="1"/>
  <c r="AH8" i="1"/>
  <c r="AH31" i="1"/>
  <c r="AH33" i="1"/>
  <c r="AI9" i="1"/>
  <c r="AH9" i="1"/>
  <c r="AI10" i="1"/>
  <c r="M57" i="1"/>
  <c r="J58" i="1"/>
  <c r="M58" i="1"/>
  <c r="J59" i="1"/>
  <c r="M59" i="1"/>
  <c r="J60" i="1"/>
  <c r="M60" i="1"/>
  <c r="J61" i="1"/>
  <c r="M61" i="1"/>
  <c r="M62" i="1"/>
  <c r="M63" i="1"/>
  <c r="AI11" i="1"/>
  <c r="M107" i="1"/>
  <c r="J113" i="1"/>
  <c r="J64" i="1"/>
  <c r="M64" i="1"/>
  <c r="N25" i="1"/>
  <c r="AH10" i="1"/>
  <c r="AH11" i="1"/>
  <c r="AI7" i="1"/>
  <c r="M111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AH29" i="1"/>
  <c r="M110" i="1"/>
  <c r="M112" i="1"/>
  <c r="J63" i="1"/>
  <c r="AH7" i="1"/>
  <c r="AI6" i="1"/>
  <c r="M106" i="1"/>
  <c r="G79" i="9"/>
  <c r="AI16" i="1"/>
  <c r="AI18" i="1"/>
  <c r="G72" i="9"/>
  <c r="M101" i="1"/>
  <c r="G74" i="9"/>
  <c r="AI21" i="1"/>
  <c r="AI20" i="1"/>
  <c r="AI12" i="1"/>
  <c r="AI13" i="1"/>
  <c r="G76" i="9"/>
  <c r="AI17" i="1"/>
  <c r="AI14" i="1"/>
  <c r="J52" i="1"/>
  <c r="AI15" i="1"/>
  <c r="G83" i="9"/>
  <c r="AI19" i="1"/>
  <c r="N23" i="1"/>
  <c r="G77" i="9"/>
  <c r="G78" i="9"/>
  <c r="G81" i="9"/>
  <c r="G85" i="9"/>
  <c r="G73" i="9"/>
  <c r="G87" i="9"/>
  <c r="G86" i="9"/>
  <c r="G82" i="9"/>
  <c r="G80" i="9"/>
  <c r="L108" i="1"/>
  <c r="L59" i="1"/>
  <c r="L109" i="1"/>
  <c r="L60" i="1"/>
  <c r="L111" i="1"/>
  <c r="L62" i="1"/>
  <c r="L63" i="1"/>
  <c r="L113" i="1"/>
  <c r="L64" i="1"/>
  <c r="K111" i="1"/>
  <c r="I64" i="1"/>
  <c r="K108" i="1"/>
  <c r="I59" i="1"/>
  <c r="I109" i="1"/>
  <c r="I60" i="1"/>
  <c r="G96" i="9"/>
  <c r="G95" i="9"/>
  <c r="M108" i="1"/>
  <c r="M109" i="1"/>
  <c r="M113" i="1"/>
</calcChain>
</file>

<file path=xl/comments1.xml><?xml version="1.0" encoding="utf-8"?>
<comments xmlns="http://schemas.openxmlformats.org/spreadsheetml/2006/main">
  <authors>
    <author>Mark Lawrence</author>
  </authors>
  <commentList>
    <comment ref="E22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<sst xmlns="http://schemas.openxmlformats.org/spreadsheetml/2006/main" count="806" uniqueCount="153">
  <si>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</si>
  <si>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</si>
  <si>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</si>
  <si>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</si>
  <si>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</si>
  <si>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</si>
  <si>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</si>
  <si>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</si>
  <si>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</si>
  <si>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</si>
  <si>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</si>
  <si>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</si>
  <si>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</si>
  <si>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</si>
  <si>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</si>
  <si>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</si>
  <si>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</si>
  <si>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</si>
  <si>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</si>
  <si>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kcals/day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</si>
  <si>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</si>
  <si>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</si>
  <si>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</si>
  <si>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</si>
  <si>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</si>
  <si>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</si>
  <si>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</si>
  <si>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</si>
  <si>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</si>
  <si>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</si>
  <si>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</si>
  <si>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</si>
  <si>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</si>
  <si>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</si>
  <si>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</si>
  <si>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</si>
  <si>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</si>
  <si>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staple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</si>
  <si>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</si>
  <si>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</si>
  <si>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</si>
  <si>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</si>
  <si>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</si>
  <si>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</si>
  <si>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</si>
  <si>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</si>
  <si>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</si>
  <si>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</si>
  <si>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</si>
  <si>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</si>
  <si>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</si>
  <si>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</si>
  <si>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</si>
  <si>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</si>
  <si>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</si>
  <si>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</si>
  <si>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</si>
  <si>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</si>
  <si>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</si>
  <si>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</si>
  <si>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</si>
  <si>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</si>
  <si>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</si>
  <si>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</si>
  <si>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</si>
  <si>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</si>
  <si>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</si>
  <si>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</si>
  <si>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</si>
  <si>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</si>
  <si>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</si>
  <si>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</si>
  <si>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</si>
  <si>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</si>
  <si>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</si>
  <si>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</si>
  <si>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</si>
  <si>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</si>
  <si>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</si>
  <si>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</si>
  <si>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</si>
  <si>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</si>
  <si>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</si>
  <si>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</si>
  <si>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</si>
  <si>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</si>
  <si>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</si>
  <si>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</si>
  <si>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</si>
  <si>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</si>
  <si>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</si>
  <si>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</si>
  <si>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</si>
  <si>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</si>
  <si>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</si>
  <si>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</si>
  <si>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</si>
  <si>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</si>
  <si>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</si>
  <si>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</si>
  <si>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</si>
  <si>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</si>
  <si>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</si>
  <si>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</si>
  <si>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</si>
  <si>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</si>
  <si>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</si>
  <si>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</si>
  <si>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</si>
  <si>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</si>
  <si>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</si>
  <si>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</si>
  <si>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</si>
  <si>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</si>
  <si>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</si>
  <si>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</si>
  <si>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</si>
  <si>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</si>
  <si>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</si>
  <si>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</si>
  <si>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</si>
  <si>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</si>
  <si>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</si>
  <si>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</si>
  <si>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</si>
  <si>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</si>
  <si>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</si>
  <si>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</si>
  <si>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</si>
  <si>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</si>
  <si>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</si>
  <si>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</rPr>
      <t>J</t>
    </r>
    <r>
      <rPr>
        <sz val="10"/>
        <rFont val="Arial"/>
      </rPr>
      <t>/day</t>
    </r>
  </si>
  <si>
    <r>
      <t>k</t>
    </r>
    <r>
      <rPr>
        <sz val="10"/>
        <rFont val="Arial"/>
      </rPr>
      <t>J</t>
    </r>
    <r>
      <rPr>
        <sz val="10"/>
        <rFont val="Arial"/>
      </rPr>
      <t>/day</t>
    </r>
  </si>
  <si>
    <t>cost of 8800 kJ for season</t>
  </si>
  <si>
    <t>Resilience line</t>
  </si>
  <si>
    <t>fpl non-staple food</t>
  </si>
  <si>
    <t>staple food</t>
  </si>
  <si>
    <t>lbpl</t>
  </si>
  <si>
    <t>ubpl</t>
  </si>
  <si>
    <t>resilience</t>
  </si>
  <si>
    <t>Food Poverty line</t>
  </si>
  <si>
    <t>Lower Bound Poverty line</t>
  </si>
  <si>
    <t>Upper Bound Poverty line</t>
  </si>
  <si>
    <t>Mo/pers</t>
  </si>
  <si>
    <t>cost of FPL (100% staple &amp; non-staple)</t>
  </si>
  <si>
    <t>Nominal FPL</t>
  </si>
  <si>
    <t>Nominal LBPL</t>
  </si>
  <si>
    <t>Nominal UBPL</t>
  </si>
  <si>
    <t>Nominal RL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</si>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</sst>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.0%;[Red]\(0.0%\);&quot;-&quot;"/>
    <numFmt numFmtId="174" formatCode="0%;[Red]\(0%\);&quot;-&quot;"/>
  </numFmts>
  <fonts count="28" x14ac:knownFonts="1">
    <font>
      <sz val="12"/>
      <name val="Arial"/>
      <family val="2"/>
    </font>
    <font>
      <sz val="8"/>
      <name val="Arial"/>
    </font>
    <font>
      <i/>
      <sz val="12"/>
      <name val="Arial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  <font>
      <sz val="9"/>
      <name val="Arial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3" tint="0.79998168889431442"/>
      <name val="Arial"/>
    </font>
    <font>
      <sz val="10"/>
      <color theme="5" tint="-0.249977111117893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9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</cellStyleXfs>
  <cellXfs count="260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17" xfId="0" applyFont="1" applyBorder="1" applyAlignment="1"/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2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2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3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0" fontId="7" fillId="0" borderId="0" xfId="0" quotePrefix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38" fontId="8" fillId="0" borderId="0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19" fillId="0" borderId="0" xfId="0" applyFont="1" applyAlignment="1"/>
    <xf numFmtId="9" fontId="19" fillId="0" borderId="0" xfId="6" applyNumberFormat="1" applyFont="1" applyAlignment="1"/>
    <xf numFmtId="3" fontId="19" fillId="0" borderId="0" xfId="0" applyNumberFormat="1" applyFont="1" applyAlignment="1"/>
    <xf numFmtId="1" fontId="19" fillId="0" borderId="0" xfId="0" applyNumberFormat="1" applyFont="1" applyAlignment="1"/>
    <xf numFmtId="1" fontId="19" fillId="0" borderId="0" xfId="6" applyNumberFormat="1" applyFont="1" applyAlignment="1"/>
    <xf numFmtId="165" fontId="19" fillId="0" borderId="0" xfId="0" applyNumberFormat="1" applyFont="1" applyAlignment="1"/>
    <xf numFmtId="9" fontId="19" fillId="0" borderId="0" xfId="0" applyNumberFormat="1" applyFont="1" applyAlignment="1"/>
    <xf numFmtId="165" fontId="19" fillId="0" borderId="0" xfId="6" applyNumberFormat="1" applyFont="1" applyAlignment="1"/>
    <xf numFmtId="164" fontId="19" fillId="0" borderId="0" xfId="6" applyNumberFormat="1" applyFont="1" applyAlignment="1"/>
    <xf numFmtId="2" fontId="19" fillId="0" borderId="0" xfId="0" applyNumberFormat="1" applyFont="1" applyAlignment="1"/>
    <xf numFmtId="0" fontId="19" fillId="0" borderId="0" xfId="0" applyFont="1" applyAlignment="1">
      <alignment textRotation="90"/>
    </xf>
    <xf numFmtId="169" fontId="19" fillId="0" borderId="0" xfId="0" applyNumberFormat="1" applyFont="1" applyAlignment="1"/>
    <xf numFmtId="0" fontId="19" fillId="10" borderId="0" xfId="0" applyFont="1" applyFill="1" applyAlignment="1">
      <alignment horizontal="right"/>
    </xf>
    <xf numFmtId="165" fontId="20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19" fillId="0" borderId="0" xfId="0" applyFont="1" applyAlignment="1">
      <alignment horizontal="right"/>
    </xf>
    <xf numFmtId="173" fontId="8" fillId="0" borderId="0" xfId="6" applyNumberFormat="1" applyFont="1" applyAlignment="1" applyProtection="1"/>
    <xf numFmtId="4" fontId="8" fillId="0" borderId="0" xfId="1" applyFont="1" applyAlignment="1" applyProtection="1"/>
    <xf numFmtId="10" fontId="8" fillId="0" borderId="0" xfId="6" applyFont="1" applyAlignment="1" applyProtection="1"/>
    <xf numFmtId="10" fontId="7" fillId="0" borderId="0" xfId="6" applyFont="1" applyAlignment="1" applyProtection="1"/>
    <xf numFmtId="174" fontId="8" fillId="0" borderId="0" xfId="6" applyNumberFormat="1" applyFont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7" fillId="2" borderId="0" xfId="0" applyNumberFormat="1" applyFont="1" applyFill="1" applyBorder="1" applyAlignment="1" applyProtection="1">
      <protection locked="0"/>
    </xf>
    <xf numFmtId="2" fontId="26" fillId="0" borderId="2" xfId="0" applyNumberFormat="1" applyFont="1" applyFill="1" applyBorder="1" applyAlignment="1" applyProtection="1"/>
    <xf numFmtId="2" fontId="26" fillId="0" borderId="3" xfId="0" applyNumberFormat="1" applyFont="1" applyFill="1" applyBorder="1" applyAlignment="1" applyProtection="1"/>
    <xf numFmtId="9" fontId="8" fillId="0" borderId="10" xfId="0" applyNumberFormat="1" applyFont="1" applyBorder="1" applyAlignment="1" applyProtection="1"/>
    <xf numFmtId="9" fontId="8" fillId="0" borderId="10" xfId="0" applyNumberFormat="1" applyFont="1" applyFill="1" applyBorder="1" applyAlignment="1" applyProtection="1"/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0" fontId="0" fillId="0" borderId="0" xfId="0" applyAlignment="1" applyProtection="1">
      <alignment horizontal="right"/>
    </xf>
    <xf numFmtId="0" fontId="0" fillId="0" borderId="22" xfId="0" applyBorder="1" applyAlignment="1" applyProtection="1">
      <alignment horizontal="center"/>
    </xf>
    <xf numFmtId="4" fontId="7" fillId="0" borderId="23" xfId="1" applyFont="1" applyBorder="1" applyAlignment="1" applyProtection="1"/>
    <xf numFmtId="4" fontId="7" fillId="0" borderId="29" xfId="1" applyFont="1" applyBorder="1" applyAlignment="1" applyProtection="1"/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8" fillId="10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>
      <alignment horizontal="right"/>
    </xf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  <xf numFmtId="0" fontId="14" fillId="0" borderId="16" xfId="0" applyFont="1" applyBorder="1" applyAlignment="1">
      <alignment horizontal="left"/>
    </xf>
  </cellXfs>
  <cellStyles count="19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Normal" xfId="0" builtinId="0"/>
    <cellStyle name="Percent" xfId="6" builtinId="5"/>
    <cellStyle name="Total" xfId="7" builtinId="25" customBuiltin="1"/>
  </cellStyles>
  <dxfs count="352"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23F95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0.00282145080946451</c:v>
                </c:pt>
                <c:pt idx="1">
                  <c:v>0.00282145080946451</c:v>
                </c:pt>
                <c:pt idx="2" formatCode="0.0%">
                  <c:v>0.00282145080946451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0.0416666666666667</c:v>
                </c:pt>
                <c:pt idx="1">
                  <c:v>0.0416666666666667</c:v>
                </c:pt>
                <c:pt idx="2" formatCode="0.0%">
                  <c:v>0.0416666666666667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0.0867470547945205</c:v>
                </c:pt>
                <c:pt idx="1">
                  <c:v>0.0867470547945205</c:v>
                </c:pt>
                <c:pt idx="2" formatCode="0.0%">
                  <c:v>0.0867470547945205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0.0354548443337484</c:v>
                </c:pt>
                <c:pt idx="1">
                  <c:v>0.0354548443337484</c:v>
                </c:pt>
                <c:pt idx="2" formatCode="0.0%">
                  <c:v>0.0354548443337484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0.0662823100871731</c:v>
                </c:pt>
                <c:pt idx="1">
                  <c:v>0.0662823100871731</c:v>
                </c:pt>
                <c:pt idx="2" formatCode="0.0%">
                  <c:v>0.0662823100871731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FCD5B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5373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E46C0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0.0578617845579078</c:v>
                </c:pt>
                <c:pt idx="1">
                  <c:v>0.0578617845579078</c:v>
                </c:pt>
                <c:pt idx="2" formatCode="0.0%">
                  <c:v>0.0578617845579078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0.04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Labour: Harvesting</c:v>
                </c:pt>
              </c:strCache>
            </c:strRef>
          </c:tx>
          <c:spPr>
            <a:solidFill>
              <a:srgbClr val="93CDD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Food aid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0.0816481843879104</c:v>
                </c:pt>
                <c:pt idx="1">
                  <c:v>0.0816481843879104</c:v>
                </c:pt>
                <c:pt idx="2" formatCode="0.0%">
                  <c:v>0.0816481843879104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Purchase - other food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0.032171701120797</c:v>
                </c:pt>
                <c:pt idx="1">
                  <c:v>0.032171701120797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0.204711864881694</c:v>
                </c:pt>
                <c:pt idx="1">
                  <c:v>0.204711864881694</c:v>
                </c:pt>
                <c:pt idx="2" formatCode="0.0%">
                  <c:v>0.586203610309607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0.629149688667497</c:v>
                </c:pt>
                <c:pt idx="1">
                  <c:v>0.593277255762146</c:v>
                </c:pt>
                <c:pt idx="2" formatCode="0.0%">
                  <c:v>0.239829644360381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70681288"/>
        <c:axId val="1870893560"/>
      </c:barChart>
      <c:catAx>
        <c:axId val="1870681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0893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70893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06812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61300712496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0.075093399750934</c:v>
                </c:pt>
                <c:pt idx="1">
                  <c:v>0.075093399750934</c:v>
                </c:pt>
                <c:pt idx="2" formatCode="0.0%">
                  <c:v>0.075093399750934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0.0420519406392694</c:v>
                </c:pt>
                <c:pt idx="1">
                  <c:v>0.0420519406392694</c:v>
                </c:pt>
                <c:pt idx="2" formatCode="0.0%">
                  <c:v>0.0420519406392694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0.0416666666666667</c:v>
                </c:pt>
                <c:pt idx="1">
                  <c:v>0.0416666666666667</c:v>
                </c:pt>
                <c:pt idx="2" formatCode="0.0%">
                  <c:v>0.0416666666666667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0.118291438356164</c:v>
                </c:pt>
                <c:pt idx="1">
                  <c:v>0.118291438356164</c:v>
                </c:pt>
                <c:pt idx="2" formatCode="0.0%">
                  <c:v>0.118291438356164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66FF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0.0354548443337484</c:v>
                </c:pt>
                <c:pt idx="1">
                  <c:v>0.0354548443337484</c:v>
                </c:pt>
                <c:pt idx="2" formatCode="0.0%">
                  <c:v>0.0354548443337484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0.0139929321295143</c:v>
                </c:pt>
                <c:pt idx="1">
                  <c:v>0.0139929321295143</c:v>
                </c:pt>
                <c:pt idx="2" formatCode="0.0%">
                  <c:v>0.0139929321295143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95373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0.0015670402656704</c:v>
                </c:pt>
                <c:pt idx="1">
                  <c:v>0.0015670402656704</c:v>
                </c:pt>
                <c:pt idx="2" formatCode="0.0%">
                  <c:v>0.0015670402656704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0.00593866749688667</c:v>
                </c:pt>
                <c:pt idx="1">
                  <c:v>0.00593866749688667</c:v>
                </c:pt>
                <c:pt idx="2" formatCode="0.0%">
                  <c:v>0.00593866749688667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E46C0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0.0074252801992528</c:v>
                </c:pt>
                <c:pt idx="1">
                  <c:v>0.0074252801992528</c:v>
                </c:pt>
                <c:pt idx="2" formatCode="0.0%">
                  <c:v>0.0074252801992528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0.0578617845579078</c:v>
                </c:pt>
                <c:pt idx="1">
                  <c:v>0.0578617845579078</c:v>
                </c:pt>
                <c:pt idx="2" formatCode="0.0%">
                  <c:v>0.0578617845579078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Labour: Harvesting</c:v>
                </c:pt>
              </c:strCache>
            </c:strRef>
          </c:tx>
          <c:spPr>
            <a:solidFill>
              <a:srgbClr val="93CDD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0.0282534246575342</c:v>
                </c:pt>
                <c:pt idx="1">
                  <c:v>0.0245804794520548</c:v>
                </c:pt>
                <c:pt idx="2" formatCode="0.0%">
                  <c:v>0.0245271004954143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Food aid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Purchase - other food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0.0228110211706102</c:v>
                </c:pt>
                <c:pt idx="1">
                  <c:v>0.0228110211706102</c:v>
                </c:pt>
                <c:pt idx="2" formatCode="0.0%">
                  <c:v>0.0230587031803054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0.249996024283935</c:v>
                </c:pt>
                <c:pt idx="1">
                  <c:v>0.249996024283935</c:v>
                </c:pt>
                <c:pt idx="2" formatCode="0.0%">
                  <c:v>0.246345483172304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0.550636326276463</c:v>
                </c:pt>
                <c:pt idx="1">
                  <c:v>0.519089352501059</c:v>
                </c:pt>
                <c:pt idx="2" formatCode="0.0%">
                  <c:v>0.557765509540519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8427464"/>
        <c:axId val="-2088620056"/>
      </c:barChart>
      <c:catAx>
        <c:axId val="-208842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8620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8620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84274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29673590504451"/>
          <c:y val="0.808889413823272"/>
          <c:w val="0.949555129792752"/>
          <c:h val="0.1866668416447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0.0901120797011208</c:v>
                </c:pt>
                <c:pt idx="1">
                  <c:v>0.0901120797011208</c:v>
                </c:pt>
                <c:pt idx="2" formatCode="0.0%">
                  <c:v>0.0901120797011208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0.100924657534247</c:v>
                </c:pt>
                <c:pt idx="1">
                  <c:v>0.100924657534247</c:v>
                </c:pt>
                <c:pt idx="2" formatCode="0.0%">
                  <c:v>0.100924657534247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0.0416666666666667</c:v>
                </c:pt>
                <c:pt idx="1">
                  <c:v>0.0416666666666667</c:v>
                </c:pt>
                <c:pt idx="2" formatCode="0.0%">
                  <c:v>0.0416666666666667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0.203461273972603</c:v>
                </c:pt>
                <c:pt idx="1">
                  <c:v>0.203461273972603</c:v>
                </c:pt>
                <c:pt idx="2" formatCode="0.0%">
                  <c:v>0.201528546619692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66FF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0.0292502465753425</c:v>
                </c:pt>
                <c:pt idx="1">
                  <c:v>0.0292502465753425</c:v>
                </c:pt>
                <c:pt idx="2" formatCode="0.0%">
                  <c:v>0.0292909776063335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0.0600959611457036</c:v>
                </c:pt>
                <c:pt idx="1">
                  <c:v>0.0600959611457036</c:v>
                </c:pt>
                <c:pt idx="2" formatCode="0.0%">
                  <c:v>0.0600959611457036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0.00470112079701121</c:v>
                </c:pt>
                <c:pt idx="1">
                  <c:v>0.00470112079701121</c:v>
                </c:pt>
                <c:pt idx="2" formatCode="0.0%">
                  <c:v>0.00462911126846896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0.014252801992528</c:v>
                </c:pt>
                <c:pt idx="1">
                  <c:v>0.014252801992528</c:v>
                </c:pt>
                <c:pt idx="2" formatCode="0.0%">
                  <c:v>0.014252801992528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0.00891033623910336</c:v>
                </c:pt>
                <c:pt idx="1">
                  <c:v>0.00891033623910336</c:v>
                </c:pt>
                <c:pt idx="2" formatCode="0.0%">
                  <c:v>0.00891033623910336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0.0694341414694894</c:v>
                </c:pt>
                <c:pt idx="1">
                  <c:v>0.0694341414694894</c:v>
                </c:pt>
                <c:pt idx="2" formatCode="0.0%">
                  <c:v>0.0694341414694894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Labour: Harvesting</c:v>
                </c:pt>
              </c:strCache>
            </c:strRef>
          </c:tx>
          <c:spPr>
            <a:solidFill>
              <a:srgbClr val="93CDD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Food aid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Purchase - other food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0.0547464508094645</c:v>
                </c:pt>
                <c:pt idx="1">
                  <c:v>0.0547464508094645</c:v>
                </c:pt>
                <c:pt idx="2" formatCode="0.0%">
                  <c:v>0.0550259774927367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0.310709095267746</c:v>
                </c:pt>
                <c:pt idx="1">
                  <c:v>0.310709095267746</c:v>
                </c:pt>
                <c:pt idx="2" formatCode="0.0%">
                  <c:v>0.309302464026621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0.509767666251557</c:v>
                </c:pt>
                <c:pt idx="1">
                  <c:v>0.483611686822345</c:v>
                </c:pt>
                <c:pt idx="2" formatCode="0.0%">
                  <c:v>0.512858776659872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766136"/>
        <c:axId val="-2087772776"/>
      </c:barChart>
      <c:catAx>
        <c:axId val="-2087766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7727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7772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7661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0.0416666666666667</c:v>
                </c:pt>
                <c:pt idx="1">
                  <c:v>0.0416666666666667</c:v>
                </c:pt>
                <c:pt idx="2" formatCode="0.0%">
                  <c:v>0.0416666666666667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0.0615115479452055</c:v>
                </c:pt>
                <c:pt idx="1">
                  <c:v>0.0615115479452055</c:v>
                </c:pt>
                <c:pt idx="2" formatCode="0.0%">
                  <c:v>0.0615115479452055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0.0206819925280199</c:v>
                </c:pt>
                <c:pt idx="1">
                  <c:v>0.0206819925280199</c:v>
                </c:pt>
                <c:pt idx="2" formatCode="0.0%">
                  <c:v>0.0206819925280199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0.0353505653798257</c:v>
                </c:pt>
                <c:pt idx="1">
                  <c:v>0.0353505653798257</c:v>
                </c:pt>
                <c:pt idx="2" formatCode="0.0%">
                  <c:v>0.0353505653798257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FCD5B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5373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E46C0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0.0264151625155666</c:v>
                </c:pt>
                <c:pt idx="1">
                  <c:v>0.0264151625155666</c:v>
                </c:pt>
                <c:pt idx="2" formatCode="0.0%">
                  <c:v>0.0264151625155666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0.024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Labour: Harvesting</c:v>
                </c:pt>
              </c:strCache>
            </c:strRef>
          </c:tx>
          <c:spPr>
            <a:solidFill>
              <a:srgbClr val="93CDD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Food aid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0.0831702544031311</c:v>
                </c:pt>
                <c:pt idx="1">
                  <c:v>0.0831702544031311</c:v>
                </c:pt>
                <c:pt idx="2" formatCode="0.0%">
                  <c:v>0.0831702544031311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Purchase - other food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0.0229417808219178</c:v>
                </c:pt>
                <c:pt idx="1">
                  <c:v>0.0229417808219178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0.00688241095890411</c:v>
                </c:pt>
                <c:pt idx="1">
                  <c:v>0.00688241095890411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0.204711864881694</c:v>
                </c:pt>
                <c:pt idx="1">
                  <c:v>0.204711864881694</c:v>
                </c:pt>
                <c:pt idx="2" formatCode="0.0%">
                  <c:v>0.586203610309607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0.692064657534247</c:v>
                </c:pt>
                <c:pt idx="1">
                  <c:v>0.651146557586167</c:v>
                </c:pt>
                <c:pt idx="2" formatCode="0.0%">
                  <c:v>0.316397103887156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913592"/>
        <c:axId val="-2087910616"/>
      </c:barChart>
      <c:catAx>
        <c:axId val="-2087913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910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7910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9135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0.011285803237858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0.0496569948758805</c:v>
                </c:pt>
                <c:pt idx="1">
                  <c:v>0.0496569948758805</c:v>
                </c:pt>
                <c:pt idx="2">
                  <c:v>0.0496569948758805</c:v>
                </c:pt>
                <c:pt idx="3">
                  <c:v>0.017695682039025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0.103382353330302</c:v>
                </c:pt>
                <c:pt idx="1">
                  <c:v>0.103382353330302</c:v>
                </c:pt>
                <c:pt idx="2">
                  <c:v>0.103382353330302</c:v>
                </c:pt>
                <c:pt idx="3">
                  <c:v>0.0368411591871772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0.0422539445617461</c:v>
                </c:pt>
                <c:pt idx="1">
                  <c:v>0.0422539445617461</c:v>
                </c:pt>
                <c:pt idx="2">
                  <c:v>0.0422539445617461</c:v>
                </c:pt>
                <c:pt idx="3">
                  <c:v>0.0150575436497554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0.0789931279766467</c:v>
                </c:pt>
                <c:pt idx="1">
                  <c:v>0.0789931279766467</c:v>
                </c:pt>
                <c:pt idx="2">
                  <c:v>0.0789931279766467</c:v>
                </c:pt>
                <c:pt idx="3">
                  <c:v>0.0281498564187522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0.0578617845579078</c:v>
                </c:pt>
                <c:pt idx="1">
                  <c:v>0.0578617845579078</c:v>
                </c:pt>
                <c:pt idx="2">
                  <c:v>0.0578617845579078</c:v>
                </c:pt>
                <c:pt idx="3">
                  <c:v>0.0578617845579078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0.16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Labour: Harvesting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Poor!$A$20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(Poor!$AA$20,Poor!$AC$20,Poor!$AE$20,Poor!$AG$20)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Poor!$A$21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(Poor!$AA$21,Poor!$AC$21,Poor!$AE$21,Poor!$AG$21)</c:f>
              <c:numCache>
                <c:formatCode>0.0%</c:formatCode>
                <c:ptCount val="4"/>
                <c:pt idx="0">
                  <c:v>0.586203610309607</c:v>
                </c:pt>
                <c:pt idx="1">
                  <c:v>0.586203610309607</c:v>
                </c:pt>
                <c:pt idx="2">
                  <c:v>0.586203610309607</c:v>
                </c:pt>
                <c:pt idx="3">
                  <c:v>0.586203610309607</c:v>
                </c:pt>
              </c:numCache>
            </c:numRef>
          </c:val>
        </c:ser>
        <c:ser>
          <c:idx val="13"/>
          <c:order val="14"/>
          <c:tx>
            <c:strRef>
              <c:f>Poor!$A$22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(Poor!$AA$22,Poor!$AC$22,Poor!$AE$22,Poor!$AG$22)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0.00525637621200725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8089416"/>
        <c:axId val="-2088092760"/>
      </c:barChart>
      <c:catAx>
        <c:axId val="-208808941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8092760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8092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80894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0.0796143187939801</c:v>
                </c:pt>
                <c:pt idx="1">
                  <c:v>0.0796143187939801</c:v>
                </c:pt>
                <c:pt idx="2">
                  <c:v>0.00743802907870647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0.117532799702899</c:v>
                </c:pt>
                <c:pt idx="1">
                  <c:v>0.117532799702899</c:v>
                </c:pt>
                <c:pt idx="2">
                  <c:v>0.0109805923750245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0.0395179859140918</c:v>
                </c:pt>
                <c:pt idx="1">
                  <c:v>0.0395179859140918</c:v>
                </c:pt>
                <c:pt idx="2">
                  <c:v>0.00369199828389606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</c:dPt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0.067545868360725</c:v>
                </c:pt>
                <c:pt idx="1">
                  <c:v>0.067545868360725</c:v>
                </c:pt>
                <c:pt idx="2">
                  <c:v>0.00631052479785257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0.0264151625155666</c:v>
                </c:pt>
                <c:pt idx="1">
                  <c:v>0.0264151625155666</c:v>
                </c:pt>
                <c:pt idx="2">
                  <c:v>0.0264151625155666</c:v>
                </c:pt>
                <c:pt idx="3">
                  <c:v>0.0264151625155666</c:v>
                </c:pt>
              </c:numCache>
            </c:numRef>
          </c:val>
        </c:ser>
        <c:ser>
          <c:idx val="1"/>
          <c:order val="10"/>
          <c:tx>
            <c:strRef>
              <c:f>V.Poor!$A$16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(V.Poor!$AA$16,V.Poor!$AC$16,V.Poor!$AE$16,V.Poor!$AG$16)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0.096</c:v>
                </c:pt>
              </c:numCache>
            </c:numRef>
          </c:val>
        </c:ser>
        <c:ser>
          <c:idx val="9"/>
          <c:order val="11"/>
          <c:tx>
            <c:strRef>
              <c:f>V.Poor!$A$17</c:f>
              <c:strCache>
                <c:ptCount val="1"/>
                <c:pt idx="0">
                  <c:v>Labour: Harvesting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(V.Poor!$AA$17,V.Poor!$AC$17,V.Poor!$AE$17,V.Poor!$AG$17)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V.Poor!$A$20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(V.Poor!$AA$20,V.Poor!$AC$20,V.Poor!$AE$20,V.Poor!$AG$20)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V.Poor!$A$21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(V.Poor!$AA$21,V.Poor!$AC$21,V.Poor!$AE$21,V.Poor!$AG$21)</c:f>
              <c:numCache>
                <c:formatCode>0.0%</c:formatCode>
                <c:ptCount val="4"/>
                <c:pt idx="0">
                  <c:v>0.586203610309607</c:v>
                </c:pt>
                <c:pt idx="1">
                  <c:v>0.586203610309607</c:v>
                </c:pt>
                <c:pt idx="2">
                  <c:v>0.586203610309607</c:v>
                </c:pt>
                <c:pt idx="3">
                  <c:v>0.586203610309607</c:v>
                </c:pt>
              </c:numCache>
            </c:numRef>
          </c:val>
        </c:ser>
        <c:ser>
          <c:idx val="13"/>
          <c:order val="14"/>
          <c:tx>
            <c:strRef>
              <c:f>V.Poor!$A$22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(V.Poor!$AA$22,V.Poor!$AC$22,V.Poor!$AE$22,V.Poor!$AG$22)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0.275789828236216</c:v>
                </c:pt>
                <c:pt idx="3">
                  <c:v>0.208210972771696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8262280"/>
        <c:axId val="-2088270968"/>
      </c:barChart>
      <c:catAx>
        <c:axId val="-208826228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827096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8270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82622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0.0510635118306351</c:v>
                </c:pt>
                <c:pt idx="1">
                  <c:v>0.0510635118306351</c:v>
                </c:pt>
                <c:pt idx="2">
                  <c:v>0.0991232876712329</c:v>
                </c:pt>
                <c:pt idx="3">
                  <c:v>0.0991232876712328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0.168207762557078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0.113229501604337</c:v>
                </c:pt>
                <c:pt idx="1">
                  <c:v>0.0534371650623294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0.321457934619088</c:v>
                </c:pt>
                <c:pt idx="1">
                  <c:v>0.151707818805569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0.0963488244808727</c:v>
                </c:pt>
                <c:pt idx="1">
                  <c:v>0.0454705528541211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0.0380259055441974</c:v>
                </c:pt>
                <c:pt idx="1">
                  <c:v>0.0179458229738599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0.00419966791199668</c:v>
                </c:pt>
                <c:pt idx="3">
                  <c:v>0.00206849315068493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0.0237546699875467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0.0297011207970112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0.0578617845579078</c:v>
                </c:pt>
                <c:pt idx="1">
                  <c:v>0.0578617845579078</c:v>
                </c:pt>
                <c:pt idx="2">
                  <c:v>0.0578617845579078</c:v>
                </c:pt>
                <c:pt idx="3">
                  <c:v>0.0578617845579078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Labour: Harvesting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0.0288536810228054</c:v>
                </c:pt>
                <c:pt idx="1">
                  <c:v>0.0173161329497625</c:v>
                </c:pt>
                <c:pt idx="2">
                  <c:v>0.0230849069862839</c:v>
                </c:pt>
                <c:pt idx="3">
                  <c:v>0.0288536810228054</c:v>
                </c:pt>
              </c:numCache>
            </c:numRef>
          </c:val>
        </c:ser>
        <c:ser>
          <c:idx val="10"/>
          <c:order val="12"/>
          <c:tx>
            <c:strRef>
              <c:f>Middle!$A$20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(Middle!$AA$20,Middle!$AC$20,Middle!$AE$20,Middle!$AG$20)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Middle!$A$21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(Middle!$AA$21,Middle!$AC$21,Middle!$AE$21,Middle!$AG$21)</c:f>
              <c:numCache>
                <c:formatCode>0.0%</c:formatCode>
                <c:ptCount val="4"/>
                <c:pt idx="0">
                  <c:v>0.246345483172304</c:v>
                </c:pt>
                <c:pt idx="1">
                  <c:v>0.246345483172304</c:v>
                </c:pt>
                <c:pt idx="2">
                  <c:v>0.246345483172304</c:v>
                </c:pt>
                <c:pt idx="3">
                  <c:v>0.246345483172304</c:v>
                </c:pt>
              </c:numCache>
            </c:numRef>
          </c:val>
        </c:ser>
        <c:ser>
          <c:idx val="13"/>
          <c:order val="14"/>
          <c:tx>
            <c:strRef>
              <c:f>Middle!$A$22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(Middle!$AA$22,Middle!$AC$22,Middle!$AE$22,Middle!$AG$22)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0.306091903816194</c:v>
                </c:pt>
                <c:pt idx="2">
                  <c:v>0.546326166519969</c:v>
                </c:pt>
                <c:pt idx="3">
                  <c:v>0.374480804687682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8465688"/>
        <c:axId val="-2088472584"/>
      </c:barChart>
      <c:catAx>
        <c:axId val="-208846568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847258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8472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84656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0.0612762141967621</c:v>
                </c:pt>
                <c:pt idx="1">
                  <c:v>0.0612762141967621</c:v>
                </c:pt>
                <c:pt idx="2">
                  <c:v>0.118947945205479</c:v>
                </c:pt>
                <c:pt idx="3">
                  <c:v>0.118947945205479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0.403698630136986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0.056120218731271</c:v>
                </c:pt>
                <c:pt idx="1">
                  <c:v>0.058797484944887</c:v>
                </c:pt>
                <c:pt idx="2">
                  <c:v>0.0517489629905086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0.271435826805415</c:v>
                </c:pt>
                <c:pt idx="1">
                  <c:v>0.284384920460072</c:v>
                </c:pt>
                <c:pt idx="2">
                  <c:v>0.250293439213283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0.0394515856828848</c:v>
                </c:pt>
                <c:pt idx="1">
                  <c:v>0.0413336595559061</c:v>
                </c:pt>
                <c:pt idx="2">
                  <c:v>0.0363786651865433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0.0809423636247084</c:v>
                </c:pt>
                <c:pt idx="1">
                  <c:v>0.0848037928971126</c:v>
                </c:pt>
                <c:pt idx="2">
                  <c:v>0.0746376880609934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0.0124060181994968</c:v>
                </c:pt>
                <c:pt idx="3">
                  <c:v>0.00611042687437902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0.0570112079701121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0.0356413449564134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0.0694341414694894</c:v>
                </c:pt>
                <c:pt idx="1">
                  <c:v>0.0694341414694894</c:v>
                </c:pt>
                <c:pt idx="2">
                  <c:v>0.0694341414694894</c:v>
                </c:pt>
                <c:pt idx="3">
                  <c:v>0.0694341414694894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Labour: Harvesting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Rich!$A$20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(Rich!$AA$20,Rich!$AC$20,Rich!$AE$20,Rich!$AG$20)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Rich!$A$21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(Rich!$AA$21,Rich!$AC$21,Rich!$AE$21,Rich!$AG$21)</c:f>
              <c:numCache>
                <c:formatCode>0.0%</c:formatCode>
                <c:ptCount val="4"/>
                <c:pt idx="0">
                  <c:v>0.309302464026621</c:v>
                </c:pt>
                <c:pt idx="1">
                  <c:v>0.309302464026621</c:v>
                </c:pt>
                <c:pt idx="2">
                  <c:v>0.309302464026621</c:v>
                </c:pt>
                <c:pt idx="3">
                  <c:v>0.309302464026621</c:v>
                </c:pt>
              </c:numCache>
            </c:numRef>
          </c:val>
        </c:ser>
        <c:ser>
          <c:idx val="13"/>
          <c:order val="14"/>
          <c:tx>
            <c:strRef>
              <c:f>Rich!$A$22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(Rich!$AA$22,Rich!$AC$22,Rich!$AE$22,Rich!$AG$22)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0.021824698154849</c:v>
                </c:pt>
                <c:pt idx="3">
                  <c:v>0.0374804147943085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70702248"/>
        <c:axId val="1870705608"/>
      </c:barChart>
      <c:catAx>
        <c:axId val="18707022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070560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870705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07022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Poor!$A$29</c:f>
              <c:strCache>
                <c:ptCount val="1"/>
                <c:pt idx="0">
                  <c:v>Pig sales: no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Poor!$K$29:$M$29</c:f>
              <c:numCache>
                <c:formatCode>0%</c:formatCode>
                <c:ptCount val="3"/>
                <c:pt idx="0">
                  <c:v>0.058335323055167</c:v>
                </c:pt>
                <c:pt idx="1">
                  <c:v>0.060085382746822</c:v>
                </c:pt>
                <c:pt idx="2">
                  <c:v>0.060085382746822</c:v>
                </c:pt>
              </c:numCache>
            </c:numRef>
          </c:val>
        </c:ser>
        <c:ser>
          <c:idx val="1"/>
          <c:order val="1"/>
          <c:tx>
            <c:strRef>
              <c:f>Poor!$A$30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Poor!$K$30:$M$30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Poor!$A$31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Poor!$K$31:$M$31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Poor!$A$32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Poor!$K$32:$M$32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Poor!$A$33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Poor!$K$33:$M$33</c:f>
              <c:numCache>
                <c:formatCode>0%</c:formatCode>
                <c:ptCount val="3"/>
                <c:pt idx="0">
                  <c:v>0.0044424592172781</c:v>
                </c:pt>
                <c:pt idx="1">
                  <c:v>0.00484228054683313</c:v>
                </c:pt>
                <c:pt idx="2">
                  <c:v>0.00484228054683313</c:v>
                </c:pt>
              </c:numCache>
            </c:numRef>
          </c:val>
        </c:ser>
        <c:ser>
          <c:idx val="5"/>
          <c:order val="5"/>
          <c:tx>
            <c:strRef>
              <c:f>Poor!$A$34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Poor!$K$34:$M$34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Poor!$A$35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Poor!$K$35:$M$35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Poor!$A$36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Poor!$K$36:$M$36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Poor!$A$37</c:f>
              <c:strCache>
                <c:ptCount val="1"/>
                <c:pt idx="0">
                  <c:v>Cabbage: number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Poor!$A$38</c:f>
              <c:strCache>
                <c:ptCount val="1"/>
                <c:pt idx="0">
                  <c:v>Tomato: kg produced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Poor!$A$39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Poor!$A$40</c:f>
              <c:strCache>
                <c:ptCount val="1"/>
                <c:pt idx="0">
                  <c:v>Beetroot: kg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Poor!$A$41</c:f>
              <c:strCache>
                <c:ptCount val="1"/>
                <c:pt idx="0">
                  <c:v>Spinach: kg produced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Poor!$A$42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0.0143594641366565</c:v>
                </c:pt>
                <c:pt idx="1">
                  <c:v>0.0114875713093252</c:v>
                </c:pt>
                <c:pt idx="2">
                  <c:v>0.0134619976281155</c:v>
                </c:pt>
              </c:numCache>
            </c:numRef>
          </c:val>
        </c:ser>
        <c:ser>
          <c:idx val="14"/>
          <c:order val="14"/>
          <c:tx>
            <c:strRef>
              <c:f>Poor!$A$43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0.0684318212762536</c:v>
                </c:pt>
                <c:pt idx="1">
                  <c:v>0.0660846098064781</c:v>
                </c:pt>
                <c:pt idx="2">
                  <c:v>0.0793015317677737</c:v>
                </c:pt>
              </c:numCache>
            </c:numRef>
          </c:val>
        </c:ser>
        <c:ser>
          <c:idx val="15"/>
          <c:order val="15"/>
          <c:tx>
            <c:strRef>
              <c:f>Poor!$A$44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0.201929964421732</c:v>
                </c:pt>
                <c:pt idx="1">
                  <c:v>0.222122960863905</c:v>
                </c:pt>
                <c:pt idx="2">
                  <c:v>0.266547553036686</c:v>
                </c:pt>
              </c:numCache>
            </c:numRef>
          </c:val>
        </c:ser>
        <c:ser>
          <c:idx val="16"/>
          <c:order val="16"/>
          <c:tx>
            <c:strRef>
              <c:f>Poor!$A$45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Poor!$A$46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0.0919903171254556</c:v>
                </c:pt>
                <c:pt idx="1">
                  <c:v>0.101189348838001</c:v>
                </c:pt>
                <c:pt idx="2">
                  <c:v>0.121427218605601</c:v>
                </c:pt>
              </c:numCache>
            </c:numRef>
          </c:val>
        </c:ser>
        <c:ser>
          <c:idx val="18"/>
          <c:order val="18"/>
          <c:tx>
            <c:strRef>
              <c:f>Poor!$A$47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0.0188467966793616</c:v>
                </c:pt>
                <c:pt idx="1">
                  <c:v>0.0197891365133297</c:v>
                </c:pt>
                <c:pt idx="2">
                  <c:v>0.0197891365133297</c:v>
                </c:pt>
              </c:numCache>
            </c:numRef>
          </c:val>
        </c:ser>
        <c:ser>
          <c:idx val="19"/>
          <c:order val="19"/>
          <c:tx>
            <c:strRef>
              <c:f>Poor!$A$48</c:f>
              <c:strCache>
                <c:ptCount val="1"/>
                <c:pt idx="0">
                  <c:v>Social Cash Transfers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0.448304900537115</c:v>
                </c:pt>
                <c:pt idx="1">
                  <c:v>0.497618439596198</c:v>
                </c:pt>
                <c:pt idx="2">
                  <c:v>0.497618439596198</c:v>
                </c:pt>
              </c:numCache>
            </c:numRef>
          </c:val>
        </c:ser>
        <c:ser>
          <c:idx val="20"/>
          <c:order val="20"/>
          <c:tx>
            <c:strRef>
              <c:f>Poor!$A$49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0.0125869677822879</c:v>
                </c:pt>
                <c:pt idx="1">
                  <c:v>0.0134680555270481</c:v>
                </c:pt>
                <c:pt idx="2">
                  <c:v>0.0134680555270481</c:v>
                </c:pt>
              </c:numCache>
            </c:numRef>
          </c:val>
        </c:ser>
        <c:ser>
          <c:idx val="21"/>
          <c:order val="21"/>
          <c:tx>
            <c:strRef>
              <c:f>Poor!$A$50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Poor!$A$51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0.0807719857686927</c:v>
                </c:pt>
                <c:pt idx="1">
                  <c:v>0.0848105850571273</c:v>
                </c:pt>
                <c:pt idx="2">
                  <c:v>0.0848105850571274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45486456"/>
        <c:axId val="2146203336"/>
      </c:barChart>
      <c:catAx>
        <c:axId val="2145486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6203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62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54864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Middle!$A$29</c:f>
              <c:strCache>
                <c:ptCount val="1"/>
                <c:pt idx="0">
                  <c:v>Pig sales: no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0.018077273192076</c:v>
                </c:pt>
                <c:pt idx="1">
                  <c:v>0.0186195913878383</c:v>
                </c:pt>
                <c:pt idx="2">
                  <c:v>0.018417419912035</c:v>
                </c:pt>
              </c:numCache>
            </c:numRef>
          </c:val>
        </c:ser>
        <c:ser>
          <c:idx val="1"/>
          <c:order val="1"/>
          <c:tx>
            <c:strRef>
              <c:f>Middle!$A$30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0.0564914787252376</c:v>
                </c:pt>
                <c:pt idx="1">
                  <c:v>0.0627055413850137</c:v>
                </c:pt>
                <c:pt idx="2">
                  <c:v>0.0620246847765742</c:v>
                </c:pt>
              </c:numCache>
            </c:numRef>
          </c:val>
        </c:ser>
        <c:ser>
          <c:idx val="2"/>
          <c:order val="2"/>
          <c:tx>
            <c:strRef>
              <c:f>Middle!$A$31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Middle!$K$31:$M$31</c:f>
              <c:numCache>
                <c:formatCode>0%</c:formatCode>
                <c:ptCount val="3"/>
                <c:pt idx="0">
                  <c:v>0.0158176140430665</c:v>
                </c:pt>
                <c:pt idx="1">
                  <c:v>0.0172411993069425</c:v>
                </c:pt>
                <c:pt idx="2">
                  <c:v>0.0170539944088382</c:v>
                </c:pt>
              </c:numCache>
            </c:numRef>
          </c:val>
        </c:ser>
        <c:ser>
          <c:idx val="3"/>
          <c:order val="3"/>
          <c:tx>
            <c:strRef>
              <c:f>Middle!$A$32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Middle!$K$32:$M$32</c:f>
              <c:numCache>
                <c:formatCode>0%</c:formatCode>
                <c:ptCount val="3"/>
                <c:pt idx="0">
                  <c:v>0.00451931829801901</c:v>
                </c:pt>
                <c:pt idx="1">
                  <c:v>0.00492605694484072</c:v>
                </c:pt>
                <c:pt idx="2">
                  <c:v>0.00487256983109664</c:v>
                </c:pt>
              </c:numCache>
            </c:numRef>
          </c:val>
        </c:ser>
        <c:ser>
          <c:idx val="4"/>
          <c:order val="4"/>
          <c:tx>
            <c:strRef>
              <c:f>Middle!$A$33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Middle!$K$33:$M$33</c:f>
              <c:numCache>
                <c:formatCode>0%</c:formatCode>
                <c:ptCount val="3"/>
                <c:pt idx="0">
                  <c:v>0.00112982957450475</c:v>
                </c:pt>
                <c:pt idx="1">
                  <c:v>0.00123151423621018</c:v>
                </c:pt>
                <c:pt idx="2">
                  <c:v>0.00121814245777416</c:v>
                </c:pt>
              </c:numCache>
            </c:numRef>
          </c:val>
        </c:ser>
        <c:ser>
          <c:idx val="5"/>
          <c:order val="5"/>
          <c:tx>
            <c:strRef>
              <c:f>Middle!$A$34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Middle!$K$34:$M$34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Middle!$A$35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Middle!$K$35:$M$35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Middle!$A$36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Middle!$K$36:$M$36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Middle!$A$37</c:f>
              <c:strCache>
                <c:ptCount val="1"/>
                <c:pt idx="0">
                  <c:v>Cabbage: number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0.00169474436175713</c:v>
                </c:pt>
                <c:pt idx="1">
                  <c:v>0.0018303239106977</c:v>
                </c:pt>
                <c:pt idx="2">
                  <c:v>0.00181045025834325</c:v>
                </c:pt>
              </c:numCache>
            </c:numRef>
          </c:val>
        </c:ser>
        <c:ser>
          <c:idx val="9"/>
          <c:order val="9"/>
          <c:tx>
            <c:strRef>
              <c:f>Middle!$A$38</c:f>
              <c:strCache>
                <c:ptCount val="1"/>
                <c:pt idx="0">
                  <c:v>Tomato: kg produced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Middle!$A$39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Middle!$A$40</c:f>
              <c:strCache>
                <c:ptCount val="1"/>
                <c:pt idx="0">
                  <c:v>Beetroot: kg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Middle!$A$41</c:f>
              <c:strCache>
                <c:ptCount val="1"/>
                <c:pt idx="0">
                  <c:v>Spinach: kg produced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Middle!$A$42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Middle!$A$43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0.0110723298301466</c:v>
                </c:pt>
                <c:pt idx="1">
                  <c:v>0.0106925489169725</c:v>
                </c:pt>
                <c:pt idx="2">
                  <c:v>0.0105764492481014</c:v>
                </c:pt>
              </c:numCache>
            </c:numRef>
          </c:val>
        </c:ser>
        <c:ser>
          <c:idx val="15"/>
          <c:order val="15"/>
          <c:tx>
            <c:strRef>
              <c:f>Middle!$A$44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0.406738646821711</c:v>
                </c:pt>
                <c:pt idx="1">
                  <c:v>0.43521035209923</c:v>
                </c:pt>
                <c:pt idx="2">
                  <c:v>0.430484839206061</c:v>
                </c:pt>
              </c:numCache>
            </c:numRef>
          </c:val>
        </c:ser>
        <c:ser>
          <c:idx val="17"/>
          <c:order val="17"/>
          <c:tx>
            <c:strRef>
              <c:f>Middle!$A$46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0.0406738646821711</c:v>
                </c:pt>
                <c:pt idx="1">
                  <c:v>0.0447412511503882</c:v>
                </c:pt>
                <c:pt idx="2">
                  <c:v>0.0442554507595016</c:v>
                </c:pt>
              </c:numCache>
            </c:numRef>
          </c:val>
        </c:ser>
        <c:ser>
          <c:idx val="18"/>
          <c:order val="18"/>
          <c:tx>
            <c:strRef>
              <c:f>Middle!$A$47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0.0813477293643421</c:v>
                </c:pt>
                <c:pt idx="1">
                  <c:v>0.0854151158325592</c:v>
                </c:pt>
                <c:pt idx="2">
                  <c:v>0.0844876787226849</c:v>
                </c:pt>
              </c:numCache>
            </c:numRef>
          </c:val>
        </c:ser>
        <c:ser>
          <c:idx val="19"/>
          <c:order val="19"/>
          <c:tx>
            <c:strRef>
              <c:f>Middle!$A$48</c:f>
              <c:strCache>
                <c:ptCount val="1"/>
                <c:pt idx="0">
                  <c:v>Social Cash Transfers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0.0912780732258279</c:v>
                </c:pt>
                <c:pt idx="1">
                  <c:v>0.101318661280669</c:v>
                </c:pt>
                <c:pt idx="2">
                  <c:v>0.100218543514878</c:v>
                </c:pt>
              </c:numCache>
            </c:numRef>
          </c:val>
        </c:ser>
        <c:ser>
          <c:idx val="20"/>
          <c:order val="20"/>
          <c:tx>
            <c:strRef>
              <c:f>Middle!$A$49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Middle!$A$51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0.27115909788114</c:v>
                </c:pt>
                <c:pt idx="1">
                  <c:v>0.284717052775197</c:v>
                </c:pt>
                <c:pt idx="2">
                  <c:v>0.281625595742283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45827832"/>
        <c:axId val="2145645976"/>
      </c:barChart>
      <c:catAx>
        <c:axId val="214582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5645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5645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58278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696716263697375"/>
          <c:w val="0.994044073853484"/>
          <c:h val="0.29661768051465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Rich!$A$29</c:f>
              <c:strCache>
                <c:ptCount val="1"/>
                <c:pt idx="0">
                  <c:v>Pig sales: no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Rich!$K$29:$M$29</c:f>
              <c:numCache>
                <c:formatCode>0%</c:formatCode>
                <c:ptCount val="3"/>
                <c:pt idx="0">
                  <c:v>0.00199844172139193</c:v>
                </c:pt>
                <c:pt idx="1">
                  <c:v>0.00205839497303368</c:v>
                </c:pt>
                <c:pt idx="2">
                  <c:v>0.0020478851352055</c:v>
                </c:pt>
              </c:numCache>
            </c:numRef>
          </c:val>
        </c:ser>
        <c:ser>
          <c:idx val="1"/>
          <c:order val="1"/>
          <c:tx>
            <c:strRef>
              <c:f>Rich!$A$30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Rich!$K$30:$M$30</c:f>
              <c:numCache>
                <c:formatCode>0%</c:formatCode>
                <c:ptCount val="3"/>
                <c:pt idx="0">
                  <c:v>0.0399688344278385</c:v>
                </c:pt>
                <c:pt idx="1">
                  <c:v>0.0443654062149008</c:v>
                </c:pt>
                <c:pt idx="2">
                  <c:v>0.0441388834966622</c:v>
                </c:pt>
              </c:numCache>
            </c:numRef>
          </c:val>
        </c:ser>
        <c:ser>
          <c:idx val="2"/>
          <c:order val="2"/>
          <c:tx>
            <c:strRef>
              <c:f>Rich!$A$31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Rich!$K$31:$M$31</c:f>
              <c:numCache>
                <c:formatCode>0%</c:formatCode>
                <c:ptCount val="3"/>
                <c:pt idx="0">
                  <c:v>0.0139890920497435</c:v>
                </c:pt>
                <c:pt idx="1">
                  <c:v>0.0152481103342204</c:v>
                </c:pt>
                <c:pt idx="2">
                  <c:v>0.0151702559044835</c:v>
                </c:pt>
              </c:numCache>
            </c:numRef>
          </c:val>
        </c:ser>
        <c:ser>
          <c:idx val="3"/>
          <c:order val="3"/>
          <c:tx>
            <c:strRef>
              <c:f>Rich!$A$32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Rich!$K$32:$M$32</c:f>
              <c:numCache>
                <c:formatCode>0%</c:formatCode>
                <c:ptCount val="3"/>
                <c:pt idx="0">
                  <c:v>0.00299766258208789</c:v>
                </c:pt>
                <c:pt idx="1">
                  <c:v>0.0032674522144758</c:v>
                </c:pt>
                <c:pt idx="2">
                  <c:v>0.00325076912238931</c:v>
                </c:pt>
              </c:numCache>
            </c:numRef>
          </c:val>
        </c:ser>
        <c:ser>
          <c:idx val="4"/>
          <c:order val="4"/>
          <c:tx>
            <c:strRef>
              <c:f>Rich!$A$33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Rich!$K$33:$M$33</c:f>
              <c:numCache>
                <c:formatCode>0%</c:formatCode>
                <c:ptCount val="3"/>
                <c:pt idx="0">
                  <c:v>0.00134894816193955</c:v>
                </c:pt>
                <c:pt idx="1">
                  <c:v>0.00147035349651411</c:v>
                </c:pt>
                <c:pt idx="2">
                  <c:v>0.00146284610507519</c:v>
                </c:pt>
              </c:numCache>
            </c:numRef>
          </c:val>
        </c:ser>
        <c:ser>
          <c:idx val="5"/>
          <c:order val="5"/>
          <c:tx>
            <c:strRef>
              <c:f>Rich!$A$34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Rich!$K$34:$M$34</c:f>
              <c:numCache>
                <c:formatCode>0%</c:formatCode>
                <c:ptCount val="3"/>
                <c:pt idx="0">
                  <c:v>0.00299766258208789</c:v>
                </c:pt>
                <c:pt idx="1">
                  <c:v>0.00305761583372965</c:v>
                </c:pt>
                <c:pt idx="2">
                  <c:v>0.00304200413287807</c:v>
                </c:pt>
              </c:numCache>
            </c:numRef>
          </c:val>
        </c:ser>
        <c:ser>
          <c:idx val="6"/>
          <c:order val="6"/>
          <c:tx>
            <c:strRef>
              <c:f>Rich!$A$35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Rich!$K$35:$M$35</c:f>
              <c:numCache>
                <c:formatCode>0%</c:formatCode>
                <c:ptCount val="3"/>
                <c:pt idx="0">
                  <c:v>0.000499610430347982</c:v>
                </c:pt>
                <c:pt idx="1">
                  <c:v>0.000499610430347982</c:v>
                </c:pt>
                <c:pt idx="2">
                  <c:v>0.000497059498836286</c:v>
                </c:pt>
              </c:numCache>
            </c:numRef>
          </c:val>
        </c:ser>
        <c:ser>
          <c:idx val="7"/>
          <c:order val="7"/>
          <c:tx>
            <c:strRef>
              <c:f>Rich!$A$36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Rich!$K$36:$M$36</c:f>
              <c:numCache>
                <c:formatCode>0%</c:formatCode>
                <c:ptCount val="3"/>
                <c:pt idx="0">
                  <c:v>0.00499610430347982</c:v>
                </c:pt>
                <c:pt idx="1">
                  <c:v>0.0054957147338278</c:v>
                </c:pt>
                <c:pt idx="2">
                  <c:v>0.00546765448719915</c:v>
                </c:pt>
              </c:numCache>
            </c:numRef>
          </c:val>
        </c:ser>
        <c:ser>
          <c:idx val="8"/>
          <c:order val="8"/>
          <c:tx>
            <c:strRef>
              <c:f>Rich!$A$37</c:f>
              <c:strCache>
                <c:ptCount val="1"/>
                <c:pt idx="0">
                  <c:v>Cabbage: number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0.000499610430347982</c:v>
                </c:pt>
                <c:pt idx="1">
                  <c:v>0.00053957926477582</c:v>
                </c:pt>
                <c:pt idx="2">
                  <c:v>0.000536824258743189</c:v>
                </c:pt>
              </c:numCache>
            </c:numRef>
          </c:val>
        </c:ser>
        <c:ser>
          <c:idx val="9"/>
          <c:order val="9"/>
          <c:tx>
            <c:strRef>
              <c:f>Rich!$A$38</c:f>
              <c:strCache>
                <c:ptCount val="1"/>
                <c:pt idx="0">
                  <c:v>Tomato: kg produced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0.0233151534162391</c:v>
                </c:pt>
                <c:pt idx="1">
                  <c:v>0.0219162442112648</c:v>
                </c:pt>
                <c:pt idx="2">
                  <c:v>0.0218043433489518</c:v>
                </c:pt>
              </c:numCache>
            </c:numRef>
          </c:val>
        </c:ser>
        <c:ser>
          <c:idx val="10"/>
          <c:order val="10"/>
          <c:tx>
            <c:strRef>
              <c:f>Rich!$A$39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0.0116575767081196</c:v>
                </c:pt>
                <c:pt idx="1">
                  <c:v>0.0108415463385512</c:v>
                </c:pt>
                <c:pt idx="2">
                  <c:v>0.0107861911247474</c:v>
                </c:pt>
              </c:numCache>
            </c:numRef>
          </c:val>
        </c:ser>
        <c:ser>
          <c:idx val="11"/>
          <c:order val="11"/>
          <c:tx>
            <c:strRef>
              <c:f>Rich!$A$40</c:f>
              <c:strCache>
                <c:ptCount val="1"/>
                <c:pt idx="0">
                  <c:v>Beetroot: kg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0.000666147240463976</c:v>
                </c:pt>
                <c:pt idx="1">
                  <c:v>0.000666147240463976</c:v>
                </c:pt>
                <c:pt idx="2">
                  <c:v>0.000662745998448382</c:v>
                </c:pt>
              </c:numCache>
            </c:numRef>
          </c:val>
        </c:ser>
        <c:ser>
          <c:idx val="12"/>
          <c:order val="12"/>
          <c:tx>
            <c:strRef>
              <c:f>Rich!$A$41</c:f>
              <c:strCache>
                <c:ptCount val="1"/>
                <c:pt idx="0">
                  <c:v>Spinach: kg produced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0.000832684050579969</c:v>
                </c:pt>
                <c:pt idx="1">
                  <c:v>0.000857664572097368</c:v>
                </c:pt>
                <c:pt idx="2">
                  <c:v>0.000853285473002291</c:v>
                </c:pt>
              </c:numCache>
            </c:numRef>
          </c:val>
        </c:ser>
        <c:ser>
          <c:idx val="13"/>
          <c:order val="13"/>
          <c:tx>
            <c:strRef>
              <c:f>Rich!$A$42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Rich!$A$43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Rich!$A$44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0.679470185273255</c:v>
                </c:pt>
                <c:pt idx="1">
                  <c:v>0.727033098242383</c:v>
                </c:pt>
                <c:pt idx="2">
                  <c:v>0.723320982706564</c:v>
                </c:pt>
              </c:numCache>
            </c:numRef>
          </c:val>
        </c:ser>
        <c:ser>
          <c:idx val="17"/>
          <c:order val="17"/>
          <c:tx>
            <c:strRef>
              <c:f>Rich!$A$46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0.0199844172139193</c:v>
                </c:pt>
                <c:pt idx="1">
                  <c:v>0.0219828589353112</c:v>
                </c:pt>
                <c:pt idx="2">
                  <c:v>0.0218706179487966</c:v>
                </c:pt>
              </c:numCache>
            </c:numRef>
          </c:val>
        </c:ser>
        <c:ser>
          <c:idx val="18"/>
          <c:order val="18"/>
          <c:tx>
            <c:strRef>
              <c:f>Rich!$A$47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0.0479626013134062</c:v>
                </c:pt>
                <c:pt idx="1">
                  <c:v>0.0503607313790766</c:v>
                </c:pt>
                <c:pt idx="2">
                  <c:v>0.0501035974826977</c:v>
                </c:pt>
              </c:numCache>
            </c:numRef>
          </c:val>
        </c:ser>
        <c:ser>
          <c:idx val="19"/>
          <c:order val="19"/>
          <c:tx>
            <c:strRef>
              <c:f>Rich!$A$48</c:f>
              <c:strCache>
                <c:ptCount val="1"/>
                <c:pt idx="0">
                  <c:v>Social Cash Transfers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0.0269087648112358</c:v>
                </c:pt>
                <c:pt idx="1">
                  <c:v>0.0298687289404717</c:v>
                </c:pt>
                <c:pt idx="2">
                  <c:v>0.0297162239541057</c:v>
                </c:pt>
              </c:numCache>
            </c:numRef>
          </c:val>
        </c:ser>
        <c:ser>
          <c:idx val="20"/>
          <c:order val="20"/>
          <c:tx>
            <c:strRef>
              <c:f>Rich!$A$49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Rich!$A$51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0.119906503283516</c:v>
                </c:pt>
                <c:pt idx="1">
                  <c:v>0.125901828447691</c:v>
                </c:pt>
                <c:pt idx="2">
                  <c:v>0.125258993706744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46367432"/>
        <c:axId val="2146361800"/>
      </c:barChart>
      <c:catAx>
        <c:axId val="2146367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6361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6361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63674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V.Poor!$A$29</c:f>
              <c:strCache>
                <c:ptCount val="1"/>
                <c:pt idx="0">
                  <c:v>Pig sales: no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V.Poor!$K$29:$M$29</c:f>
              <c:numCache>
                <c:formatCode>0%</c:formatCode>
                <c:ptCount val="3"/>
                <c:pt idx="0">
                  <c:v>0.0148297947471172</c:v>
                </c:pt>
                <c:pt idx="1">
                  <c:v>0.0152746885895308</c:v>
                </c:pt>
                <c:pt idx="2">
                  <c:v>0.0152746885895308</c:v>
                </c:pt>
              </c:numCache>
            </c:numRef>
          </c:val>
        </c:ser>
        <c:ser>
          <c:idx val="1"/>
          <c:order val="1"/>
          <c:tx>
            <c:strRef>
              <c:f>V.Poor!$A$30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V.Poor!$K$30:$M$30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V.Poor!$A$31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V.Poor!$K$31:$M$31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V.Poor!$A$32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V.Poor!$K$32:$M$32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V.Poor!$A$33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V.Poor!$K$33:$M$33</c:f>
              <c:numCache>
                <c:formatCode>0%</c:formatCode>
                <c:ptCount val="3"/>
                <c:pt idx="0">
                  <c:v>0.00400404458172166</c:v>
                </c:pt>
                <c:pt idx="1">
                  <c:v>0.0043644085940766</c:v>
                </c:pt>
                <c:pt idx="2">
                  <c:v>0.0043644085940766</c:v>
                </c:pt>
              </c:numCache>
            </c:numRef>
          </c:val>
        </c:ser>
        <c:ser>
          <c:idx val="5"/>
          <c:order val="5"/>
          <c:tx>
            <c:strRef>
              <c:f>V.Poor!$A$34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V.Poor!$K$34:$M$34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V.Poor!$A$35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V.Poor!$K$35:$M$35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V.Poor!$A$36</c:f>
              <c:strCache>
                <c:ptCount val="1"/>
                <c:pt idx="0">
                  <c:v>Pumpkin: kg produce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V.Poor!$K$36:$M$36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V.Poor!$A$37</c:f>
              <c:strCache>
                <c:ptCount val="1"/>
                <c:pt idx="0">
                  <c:v>Cabbage: number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V.Poor!$A$38</c:f>
              <c:strCache>
                <c:ptCount val="1"/>
                <c:pt idx="0">
                  <c:v>Tomato: kg produced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V.Poor!$A$39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V.Poor!$A$40</c:f>
              <c:strCache>
                <c:ptCount val="1"/>
                <c:pt idx="0">
                  <c:v>Beetroot: kg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V.Poor!$A$41</c:f>
              <c:strCache>
                <c:ptCount val="1"/>
                <c:pt idx="0">
                  <c:v>Spinach: kg produced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V.Poor!$A$42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0.0189821372763101</c:v>
                </c:pt>
                <c:pt idx="1">
                  <c:v>0.0151857098210481</c:v>
                </c:pt>
                <c:pt idx="2">
                  <c:v>0.0177957536965407</c:v>
                </c:pt>
              </c:numCache>
            </c:numRef>
          </c:val>
        </c:ser>
        <c:ser>
          <c:idx val="14"/>
          <c:order val="14"/>
          <c:tx>
            <c:strRef>
              <c:f>V.Poor!$A$43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0.0447859801362941</c:v>
                </c:pt>
                <c:pt idx="1">
                  <c:v>0.0432498210176192</c:v>
                </c:pt>
                <c:pt idx="2">
                  <c:v>0.051899785221143</c:v>
                </c:pt>
              </c:numCache>
            </c:numRef>
          </c:val>
        </c:ser>
        <c:ser>
          <c:idx val="15"/>
          <c:order val="15"/>
          <c:tx>
            <c:strRef>
              <c:f>V.Poor!$A$44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0.133468152724055</c:v>
                </c:pt>
                <c:pt idx="1">
                  <c:v>0.146814967996461</c:v>
                </c:pt>
                <c:pt idx="2">
                  <c:v>0.142443736166912</c:v>
                </c:pt>
              </c:numCache>
            </c:numRef>
          </c:val>
        </c:ser>
        <c:ser>
          <c:idx val="16"/>
          <c:order val="16"/>
          <c:tx>
            <c:strRef>
              <c:f>V.Poor!$A$45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V.Poor!$A$46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0.106774522179244</c:v>
                </c:pt>
                <c:pt idx="1">
                  <c:v>0.117451974397169</c:v>
                </c:pt>
                <c:pt idx="2">
                  <c:v>0.113954988933529</c:v>
                </c:pt>
              </c:numCache>
            </c:numRef>
          </c:val>
        </c:ser>
        <c:ser>
          <c:idx val="18"/>
          <c:order val="18"/>
          <c:tx>
            <c:strRef>
              <c:f>V.Poor!$A$47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V.Poor!$A$48</c:f>
              <c:strCache>
                <c:ptCount val="1"/>
                <c:pt idx="0">
                  <c:v>Social Cash Transfers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0.592625538296689</c:v>
                </c:pt>
                <c:pt idx="1">
                  <c:v>0.657814347509325</c:v>
                </c:pt>
                <c:pt idx="2">
                  <c:v>0.657814347509325</c:v>
                </c:pt>
              </c:numCache>
            </c:numRef>
          </c:val>
        </c:ser>
        <c:ser>
          <c:idx val="20"/>
          <c:order val="20"/>
          <c:tx>
            <c:strRef>
              <c:f>V.Poor!$A$49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0.0133468152724055</c:v>
                </c:pt>
                <c:pt idx="1">
                  <c:v>0.0133468152724055</c:v>
                </c:pt>
                <c:pt idx="2">
                  <c:v>0.0133468152724055</c:v>
                </c:pt>
              </c:numCache>
            </c:numRef>
          </c:val>
        </c:ser>
        <c:ser>
          <c:idx val="22"/>
          <c:order val="22"/>
          <c:tx>
            <c:strRef>
              <c:f>V.Poor!$A$51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0.0711830147861628</c:v>
                </c:pt>
                <c:pt idx="1">
                  <c:v>0.0747421655254709</c:v>
                </c:pt>
                <c:pt idx="2">
                  <c:v>0.0747421655254709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46198200"/>
        <c:axId val="2146195080"/>
      </c:barChart>
      <c:catAx>
        <c:axId val="2146198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61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61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61982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ZASLC Unaffected</a:t>
            </a:r>
            <a:r>
              <a:rPr lang="en-US" sz="1200" baseline="0"/>
              <a:t> Area</a:t>
            </a:r>
            <a:endParaRPr lang="en-US" sz="1200"/>
          </a:p>
        </c:rich>
      </c:tx>
      <c:layout>
        <c:manualLayout>
          <c:xMode val="edge"/>
          <c:yMode val="edge"/>
          <c:x val="0.387369505588231"/>
          <c:y val="0.0374331550802139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5695429150194"/>
          <c:y val="0.0355557305336833"/>
          <c:w val="0.849529774929147"/>
          <c:h val="0.675052002189566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1487.014504543879</c:v>
                </c:pt>
                <c:pt idx="1">
                  <c:v>2307.21533327316</c:v>
                </c:pt>
                <c:pt idx="2">
                  <c:v>2260.640419613972</c:v>
                </c:pt>
                <c:pt idx="3">
                  <c:v>3458.848800919703</c:v>
                </c:pt>
                <c:pt idx="4">
                  <c:v>1487.014504543879</c:v>
                </c:pt>
                <c:pt idx="5">
                  <c:v>2307.21533327316</c:v>
                </c:pt>
                <c:pt idx="6">
                  <c:v>2260.640419613972</c:v>
                </c:pt>
                <c:pt idx="7">
                  <c:v>3443.11551889696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168.0</c:v>
                </c:pt>
                <c:pt idx="3">
                  <c:v>18345.6</c:v>
                </c:pt>
                <c:pt idx="4">
                  <c:v>0.0</c:v>
                </c:pt>
                <c:pt idx="5">
                  <c:v>0.0</c:v>
                </c:pt>
                <c:pt idx="6">
                  <c:v>160.2410044131513</c:v>
                </c:pt>
                <c:pt idx="7">
                  <c:v>15726.29196838968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0.0</c:v>
                </c:pt>
                <c:pt idx="1">
                  <c:v>22.6021125589659</c:v>
                </c:pt>
                <c:pt idx="2">
                  <c:v>938.4293216723754</c:v>
                </c:pt>
                <c:pt idx="3">
                  <c:v>1530.359424806298</c:v>
                </c:pt>
                <c:pt idx="4">
                  <c:v>0.0</c:v>
                </c:pt>
                <c:pt idx="5">
                  <c:v>22.6021125589659</c:v>
                </c:pt>
                <c:pt idx="6">
                  <c:v>938.4293216723754</c:v>
                </c:pt>
                <c:pt idx="7">
                  <c:v>1530.359424806298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711.2000000000001</c:v>
                </c:pt>
                <c:pt idx="1">
                  <c:v>3133.76</c:v>
                </c:pt>
                <c:pt idx="2">
                  <c:v>9520.0</c:v>
                </c:pt>
                <c:pt idx="3">
                  <c:v>24333.12</c:v>
                </c:pt>
                <c:pt idx="4">
                  <c:v>662.15</c:v>
                </c:pt>
                <c:pt idx="5">
                  <c:v>2893.82</c:v>
                </c:pt>
                <c:pt idx="6">
                  <c:v>9168.357221638884</c:v>
                </c:pt>
                <c:pt idx="7">
                  <c:v>23803.9769289914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716.8000000000001</c:v>
                </c:pt>
                <c:pt idx="1">
                  <c:v>716.8000000000001</c:v>
                </c:pt>
                <c:pt idx="2">
                  <c:v>0.0</c:v>
                </c:pt>
                <c:pt idx="3">
                  <c:v>0.0</c:v>
                </c:pt>
                <c:pt idx="4">
                  <c:v>792.2594927388207</c:v>
                </c:pt>
                <c:pt idx="5">
                  <c:v>920.4324878980348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2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6731.200000000001</c:v>
                </c:pt>
                <c:pt idx="1">
                  <c:v>13496.0</c:v>
                </c:pt>
                <c:pt idx="2">
                  <c:v>1323.932878866334</c:v>
                </c:pt>
                <c:pt idx="3">
                  <c:v>0.0</c:v>
                </c:pt>
                <c:pt idx="4">
                  <c:v>6552.468348418417</c:v>
                </c:pt>
                <c:pt idx="5">
                  <c:v>15414.462</c:v>
                </c:pt>
                <c:pt idx="6">
                  <c:v>1132.592139042352</c:v>
                </c:pt>
                <c:pt idx="7">
                  <c:v>0.0</c:v>
                </c:pt>
              </c:numCache>
            </c:numRef>
          </c:val>
        </c:ser>
        <c:ser>
          <c:idx val="4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6350" cmpd="sng">
              <a:solidFill>
                <a:srgbClr val="4F81BD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40320.00000000001</c:v>
                </c:pt>
                <c:pt idx="3">
                  <c:v>274176.0000000001</c:v>
                </c:pt>
                <c:pt idx="4">
                  <c:v>0.0</c:v>
                </c:pt>
                <c:pt idx="5">
                  <c:v>0.0</c:v>
                </c:pt>
                <c:pt idx="6">
                  <c:v>38101.74993823818</c:v>
                </c:pt>
                <c:pt idx="7">
                  <c:v>260598.596383382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0.0</c:v>
                </c:pt>
                <c:pt idx="1">
                  <c:v>628.32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600.27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4032.0</c:v>
                </c:pt>
                <c:pt idx="1">
                  <c:v>4592.000000000001</c:v>
                </c:pt>
                <c:pt idx="2">
                  <c:v>4032.0</c:v>
                </c:pt>
                <c:pt idx="3">
                  <c:v>8064.000000000003</c:v>
                </c:pt>
                <c:pt idx="4">
                  <c:v>3842.095958734733</c:v>
                </c:pt>
                <c:pt idx="5">
                  <c:v>5412.000000000001</c:v>
                </c:pt>
                <c:pt idx="6">
                  <c:v>3917.002330099253</c:v>
                </c:pt>
                <c:pt idx="7">
                  <c:v>7879.561737815291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0.0</c:v>
                </c:pt>
                <c:pt idx="1">
                  <c:v>940.8000000000001</c:v>
                </c:pt>
                <c:pt idx="2">
                  <c:v>8064.000000000001</c:v>
                </c:pt>
                <c:pt idx="3">
                  <c:v>19353.6</c:v>
                </c:pt>
                <c:pt idx="4">
                  <c:v>0.0</c:v>
                </c:pt>
                <c:pt idx="5">
                  <c:v>882.0000000000001</c:v>
                </c:pt>
                <c:pt idx="6">
                  <c:v>7477.913539280392</c:v>
                </c:pt>
                <c:pt idx="7">
                  <c:v>18051.35961754048</c:v>
                </c:pt>
              </c:numCache>
            </c:numRef>
          </c:val>
        </c:ser>
        <c:ser>
          <c:idx val="9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666.2612884376946</c:v>
                </c:pt>
                <c:pt idx="1">
                  <c:v>654.0682713943904</c:v>
                </c:pt>
                <c:pt idx="2">
                  <c:v>0.0</c:v>
                </c:pt>
                <c:pt idx="3">
                  <c:v>0.0</c:v>
                </c:pt>
                <c:pt idx="4">
                  <c:v>666.2612884376946</c:v>
                </c:pt>
                <c:pt idx="5">
                  <c:v>654.0682713943904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7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22378.61731098187</c:v>
                </c:pt>
                <c:pt idx="1">
                  <c:v>22378.61731098187</c:v>
                </c:pt>
                <c:pt idx="2">
                  <c:v>9048.394936708863</c:v>
                </c:pt>
                <c:pt idx="3">
                  <c:v>10858.07392405063</c:v>
                </c:pt>
                <c:pt idx="4">
                  <c:v>22178.80822784811</c:v>
                </c:pt>
                <c:pt idx="5">
                  <c:v>22178.80822784811</c:v>
                </c:pt>
                <c:pt idx="6">
                  <c:v>8870.2354564234</c:v>
                </c:pt>
                <c:pt idx="7">
                  <c:v>10706.18223085029</c:v>
                </c:pt>
              </c:numCache>
            </c:numRef>
          </c:val>
        </c:ser>
        <c:ser>
          <c:idx val="11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6350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2688.0</c:v>
                </c:pt>
                <c:pt idx="1">
                  <c:v>4032.0</c:v>
                </c:pt>
                <c:pt idx="2">
                  <c:v>26880.0</c:v>
                </c:pt>
                <c:pt idx="3">
                  <c:v>48384.00000000001</c:v>
                </c:pt>
                <c:pt idx="4">
                  <c:v>2520.0</c:v>
                </c:pt>
                <c:pt idx="5">
                  <c:v>3780.0</c:v>
                </c:pt>
                <c:pt idx="6">
                  <c:v>24926.37846426797</c:v>
                </c:pt>
                <c:pt idx="7">
                  <c:v>45128.39904385121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5742936"/>
        <c:axId val="2145740216"/>
      </c:barChart>
      <c:lineChart>
        <c:grouping val="standard"/>
        <c:varyColors val="0"/>
        <c:ser>
          <c:idx val="15"/>
          <c:order val="14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18678.90446395996</c:v>
                </c:pt>
                <c:pt idx="5" formatCode="#,##0">
                  <c:v>18678.90446395996</c:v>
                </c:pt>
                <c:pt idx="6" formatCode="#,##0">
                  <c:v>18678.90446395996</c:v>
                </c:pt>
                <c:pt idx="7" formatCode="#,##0">
                  <c:v>18678.90446395997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31648.14446395997</c:v>
                </c:pt>
                <c:pt idx="5" formatCode="#,##0">
                  <c:v>31648.14446395997</c:v>
                </c:pt>
                <c:pt idx="6" formatCode="#,##0">
                  <c:v>31648.14446395997</c:v>
                </c:pt>
                <c:pt idx="7" formatCode="#,##0">
                  <c:v>31648.14446395996</c:v>
                </c:pt>
              </c:numCache>
            </c:numRef>
          </c:val>
          <c:smooth val="0"/>
        </c:ser>
        <c:ser>
          <c:idx val="19"/>
          <c:order val="1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54745.02446395996</c:v>
                </c:pt>
                <c:pt idx="5" formatCode="#,##0">
                  <c:v>54745.02446395996</c:v>
                </c:pt>
                <c:pt idx="6" formatCode="#,##0">
                  <c:v>54745.02446395996</c:v>
                </c:pt>
                <c:pt idx="7" formatCode="#,##0">
                  <c:v>54745.02446395997</c:v>
                </c:pt>
              </c:numCache>
            </c:numRef>
          </c:val>
          <c:smooth val="0"/>
        </c:ser>
        <c:ser>
          <c:idx val="21"/>
          <c:order val="17"/>
          <c:tx>
            <c:strRef>
              <c:f>Income!$A$96</c:f>
              <c:strCache>
                <c:ptCount val="1"/>
                <c:pt idx="0">
                  <c:v>Resilience line</c:v>
                </c:pt>
              </c:strCache>
            </c:strRef>
          </c:tx>
          <c:spPr>
            <a:ln w="12700">
              <a:solidFill>
                <a:srgbClr val="008080"/>
              </a:solidFill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Income!$B$96:$I$96</c:f>
              <c:numCache>
                <c:formatCode>General</c:formatCode>
                <c:ptCount val="8"/>
                <c:pt idx="4" formatCode="#,##0">
                  <c:v>55801.74446395996</c:v>
                </c:pt>
                <c:pt idx="5" formatCode="#,##0">
                  <c:v>57514.47446395996</c:v>
                </c:pt>
                <c:pt idx="6" formatCode="#,##0">
                  <c:v>79631.22446395996</c:v>
                </c:pt>
                <c:pt idx="7" formatCode="#,##0">
                  <c:v>112107.60446396</c:v>
                </c:pt>
              </c:numCache>
            </c:numRef>
          </c:val>
          <c:smooth val="0"/>
        </c:ser>
        <c:ser>
          <c:idx val="13"/>
          <c:order val="18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18678.90446395996</c:v>
                </c:pt>
                <c:pt idx="1">
                  <c:v>18678.90446395996</c:v>
                </c:pt>
                <c:pt idx="2">
                  <c:v>18678.90446395996</c:v>
                </c:pt>
                <c:pt idx="3">
                  <c:v>18678.90446395997</c:v>
                </c:pt>
              </c:numCache>
            </c:numRef>
          </c:val>
          <c:smooth val="0"/>
        </c:ser>
        <c:ser>
          <c:idx val="14"/>
          <c:order val="19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31956.5873338105</c:v>
                </c:pt>
                <c:pt idx="1">
                  <c:v>31956.5873338105</c:v>
                </c:pt>
                <c:pt idx="2">
                  <c:v>31956.5873338105</c:v>
                </c:pt>
                <c:pt idx="3">
                  <c:v>31956.5873338105</c:v>
                </c:pt>
              </c:numCache>
            </c:numRef>
          </c:val>
          <c:smooth val="0"/>
        </c:ser>
        <c:ser>
          <c:idx val="18"/>
          <c:order val="20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55602.77230093218</c:v>
                </c:pt>
                <c:pt idx="1">
                  <c:v>55602.77230093218</c:v>
                </c:pt>
                <c:pt idx="2">
                  <c:v>55602.77230093218</c:v>
                </c:pt>
                <c:pt idx="3">
                  <c:v>55602.77230093219</c:v>
                </c:pt>
              </c:numCache>
            </c:numRef>
          </c:val>
          <c:smooth val="0"/>
        </c:ser>
        <c:ser>
          <c:idx val="20"/>
          <c:order val="21"/>
          <c:tx>
            <c:strRef>
              <c:f>Income!$A$92</c:f>
              <c:strCache>
                <c:ptCount val="1"/>
                <c:pt idx="0">
                  <c:v>Resilience line</c:v>
                </c:pt>
              </c:strCache>
            </c:strRef>
          </c:tx>
          <c:spPr>
            <a:ln w="12700">
              <a:solidFill>
                <a:srgbClr val="008080"/>
              </a:solidFill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Income!$B$92:$E$92</c:f>
              <c:numCache>
                <c:formatCode>#,##0</c:formatCode>
                <c:ptCount val="4"/>
                <c:pt idx="0">
                  <c:v>56684.62390073513</c:v>
                </c:pt>
                <c:pt idx="1">
                  <c:v>58438.08715545778</c:v>
                </c:pt>
                <c:pt idx="2">
                  <c:v>81080.83203578743</c:v>
                </c:pt>
                <c:pt idx="3">
                  <c:v>114329.5863498996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742936"/>
        <c:axId val="2145740216"/>
      </c:lineChart>
      <c:catAx>
        <c:axId val="2145742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5740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5740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251691077475419"/>
              <c:y val="0.089878582250389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57429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ayout>
        <c:manualLayout>
          <c:xMode val="edge"/>
          <c:yMode val="edge"/>
          <c:x val="0.0276338514680484"/>
          <c:y val="0.775401069518716"/>
          <c:w val="0.942355654416681"/>
          <c:h val="0.221925133689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Income!$B$72:$E$72</c:f>
              <c:numCache>
                <c:formatCode>#,##0</c:formatCode>
                <c:ptCount val="4"/>
                <c:pt idx="0">
                  <c:v>1487.014504543879</c:v>
                </c:pt>
                <c:pt idx="1">
                  <c:v>2307.21533327316</c:v>
                </c:pt>
                <c:pt idx="2">
                  <c:v>2260.640419613972</c:v>
                </c:pt>
                <c:pt idx="3">
                  <c:v>3458.848800919703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Income!$B$73:$E$73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168.0</c:v>
                </c:pt>
                <c:pt idx="3">
                  <c:v>18345.6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0.0</c:v>
                </c:pt>
                <c:pt idx="1">
                  <c:v>22.6021125589659</c:v>
                </c:pt>
                <c:pt idx="2">
                  <c:v>938.4293216723754</c:v>
                </c:pt>
                <c:pt idx="3">
                  <c:v>1530.359424806298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711.2000000000001</c:v>
                </c:pt>
                <c:pt idx="1">
                  <c:v>3133.76</c:v>
                </c:pt>
                <c:pt idx="2">
                  <c:v>9520.0</c:v>
                </c:pt>
                <c:pt idx="3">
                  <c:v>24333.12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716.8000000000001</c:v>
                </c:pt>
                <c:pt idx="1">
                  <c:v>716.8000000000001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6731.200000000001</c:v>
                </c:pt>
                <c:pt idx="1">
                  <c:v>13496.0</c:v>
                </c:pt>
                <c:pt idx="2">
                  <c:v>1323.932878866334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40320.00000000001</c:v>
                </c:pt>
                <c:pt idx="3">
                  <c:v>274176.0000000001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0.0</c:v>
                </c:pt>
                <c:pt idx="1">
                  <c:v>628.32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Income!$B$81:$E$81</c:f>
              <c:numCache>
                <c:formatCode>#,##0</c:formatCode>
                <c:ptCount val="4"/>
                <c:pt idx="0">
                  <c:v>4032.0</c:v>
                </c:pt>
                <c:pt idx="1">
                  <c:v>4592.000000000001</c:v>
                </c:pt>
                <c:pt idx="2">
                  <c:v>4032.0</c:v>
                </c:pt>
                <c:pt idx="3">
                  <c:v>8064.000000000003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0.0</c:v>
                </c:pt>
                <c:pt idx="1">
                  <c:v>940.8000000000001</c:v>
                </c:pt>
                <c:pt idx="2">
                  <c:v>8064.000000000001</c:v>
                </c:pt>
                <c:pt idx="3">
                  <c:v>19353.6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Income!$B$83:$E$83</c:f>
              <c:numCache>
                <c:formatCode>#,##0</c:formatCode>
                <c:ptCount val="4"/>
                <c:pt idx="0">
                  <c:v>666.2612884376946</c:v>
                </c:pt>
                <c:pt idx="1">
                  <c:v>654.0682713943904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Income!$B$85:$E$85</c:f>
              <c:numCache>
                <c:formatCode>#,##0</c:formatCode>
                <c:ptCount val="4"/>
                <c:pt idx="0">
                  <c:v>22378.61731098187</c:v>
                </c:pt>
                <c:pt idx="1">
                  <c:v>22378.61731098187</c:v>
                </c:pt>
                <c:pt idx="2">
                  <c:v>9048.394936708863</c:v>
                </c:pt>
                <c:pt idx="3">
                  <c:v>10858.07392405063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2688.0</c:v>
                </c:pt>
                <c:pt idx="1">
                  <c:v>4032.0</c:v>
                </c:pt>
                <c:pt idx="2">
                  <c:v>26880.0</c:v>
                </c:pt>
                <c:pt idx="3">
                  <c:v>48384.00000000001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5529720"/>
        <c:axId val="2145527688"/>
      </c:barChart>
      <c:lineChart>
        <c:grouping val="standard"/>
        <c:varyColors val="0"/>
        <c:ser>
          <c:idx val="13"/>
          <c:order val="14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18678.90446395996</c:v>
                </c:pt>
                <c:pt idx="1">
                  <c:v>18678.90446395996</c:v>
                </c:pt>
                <c:pt idx="2">
                  <c:v>18678.90446395996</c:v>
                </c:pt>
                <c:pt idx="3">
                  <c:v>18678.90446395997</c:v>
                </c:pt>
              </c:numCache>
            </c:numRef>
          </c:val>
          <c:smooth val="0"/>
        </c:ser>
        <c:ser>
          <c:idx val="14"/>
          <c:order val="15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31956.5873338105</c:v>
                </c:pt>
                <c:pt idx="1">
                  <c:v>31956.5873338105</c:v>
                </c:pt>
                <c:pt idx="2">
                  <c:v>31956.5873338105</c:v>
                </c:pt>
                <c:pt idx="3">
                  <c:v>31956.5873338105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5400">
              <a:solidFill>
                <a:srgbClr val="723F95"/>
              </a:solidFill>
              <a:prstDash val="lgDash"/>
            </a:ln>
          </c:spPr>
          <c:marker>
            <c:symbol val="none"/>
          </c:marker>
          <c:val>
            <c:numRef>
              <c:f>Income!$B$91:$E$91</c:f>
              <c:numCache>
                <c:formatCode>#,##0</c:formatCode>
                <c:ptCount val="4"/>
                <c:pt idx="0">
                  <c:v>55602.77230093218</c:v>
                </c:pt>
                <c:pt idx="1">
                  <c:v>55602.77230093218</c:v>
                </c:pt>
                <c:pt idx="2">
                  <c:v>55602.77230093218</c:v>
                </c:pt>
                <c:pt idx="3">
                  <c:v>55602.77230093219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Income!$A$92</c:f>
              <c:strCache>
                <c:ptCount val="1"/>
                <c:pt idx="0">
                  <c:v>Resilience line</c:v>
                </c:pt>
              </c:strCache>
            </c:strRef>
          </c:tx>
          <c:spPr>
            <a:ln w="25400">
              <a:solidFill>
                <a:srgbClr val="008080"/>
              </a:solidFill>
            </a:ln>
          </c:spPr>
          <c:marker>
            <c:symbol val="none"/>
          </c:marker>
          <c:val>
            <c:numRef>
              <c:f>Income!$B$92:$E$92</c:f>
              <c:numCache>
                <c:formatCode>#,##0</c:formatCode>
                <c:ptCount val="4"/>
                <c:pt idx="0">
                  <c:v>56684.62390073513</c:v>
                </c:pt>
                <c:pt idx="1">
                  <c:v>58438.08715545778</c:v>
                </c:pt>
                <c:pt idx="2">
                  <c:v>81080.83203578743</c:v>
                </c:pt>
                <c:pt idx="3">
                  <c:v>114329.5863498996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529720"/>
        <c:axId val="2145527688"/>
      </c:lineChart>
      <c:catAx>
        <c:axId val="2145529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5527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5527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55297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"/>
          <c:w val="0.313645219209264"/>
          <c:h val="0.9891037664877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1487.014504543879</c:v>
                </c:pt>
                <c:pt idx="1">
                  <c:v>1487.014504543879</c:v>
                </c:pt>
                <c:pt idx="2">
                  <c:v>1487.014504543879</c:v>
                </c:pt>
                <c:pt idx="3">
                  <c:v>1487.014504543879</c:v>
                </c:pt>
                <c:pt idx="4">
                  <c:v>1487.014504543879</c:v>
                </c:pt>
                <c:pt idx="5">
                  <c:v>1487.014504543879</c:v>
                </c:pt>
                <c:pt idx="6">
                  <c:v>1487.014504543879</c:v>
                </c:pt>
                <c:pt idx="7">
                  <c:v>1487.014504543879</c:v>
                </c:pt>
                <c:pt idx="8">
                  <c:v>1487.014504543879</c:v>
                </c:pt>
                <c:pt idx="9">
                  <c:v>1487.014504543879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711.2000000000001</c:v>
                </c:pt>
                <c:pt idx="1">
                  <c:v>711.2000000000001</c:v>
                </c:pt>
                <c:pt idx="2">
                  <c:v>711.2000000000001</c:v>
                </c:pt>
                <c:pt idx="3">
                  <c:v>711.2000000000001</c:v>
                </c:pt>
                <c:pt idx="4">
                  <c:v>711.2000000000001</c:v>
                </c:pt>
                <c:pt idx="5">
                  <c:v>711.2000000000001</c:v>
                </c:pt>
                <c:pt idx="6">
                  <c:v>711.2000000000001</c:v>
                </c:pt>
                <c:pt idx="7">
                  <c:v>711.2000000000001</c:v>
                </c:pt>
                <c:pt idx="8">
                  <c:v>711.2000000000001</c:v>
                </c:pt>
                <c:pt idx="9">
                  <c:v>711.2000000000001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716.8000000000001</c:v>
                </c:pt>
                <c:pt idx="1">
                  <c:v>716.8000000000001</c:v>
                </c:pt>
                <c:pt idx="2">
                  <c:v>716.8000000000001</c:v>
                </c:pt>
                <c:pt idx="3">
                  <c:v>716.8000000000001</c:v>
                </c:pt>
                <c:pt idx="4">
                  <c:v>716.8000000000001</c:v>
                </c:pt>
                <c:pt idx="5">
                  <c:v>716.8000000000001</c:v>
                </c:pt>
                <c:pt idx="6">
                  <c:v>716.8000000000001</c:v>
                </c:pt>
                <c:pt idx="7">
                  <c:v>716.8000000000001</c:v>
                </c:pt>
                <c:pt idx="8">
                  <c:v>716.8000000000001</c:v>
                </c:pt>
                <c:pt idx="9">
                  <c:v>716.8000000000001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6731.200000000001</c:v>
                </c:pt>
                <c:pt idx="1">
                  <c:v>6731.200000000001</c:v>
                </c:pt>
                <c:pt idx="2">
                  <c:v>6731.200000000001</c:v>
                </c:pt>
                <c:pt idx="3">
                  <c:v>6731.200000000001</c:v>
                </c:pt>
                <c:pt idx="4">
                  <c:v>6731.200000000001</c:v>
                </c:pt>
                <c:pt idx="5">
                  <c:v>6731.200000000001</c:v>
                </c:pt>
                <c:pt idx="6">
                  <c:v>6731.200000000001</c:v>
                </c:pt>
                <c:pt idx="7">
                  <c:v>6731.200000000001</c:v>
                </c:pt>
                <c:pt idx="8">
                  <c:v>6731.200000000001</c:v>
                </c:pt>
                <c:pt idx="9">
                  <c:v>6731.200000000001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4032.0</c:v>
                </c:pt>
                <c:pt idx="1">
                  <c:v>4032.0</c:v>
                </c:pt>
                <c:pt idx="2">
                  <c:v>4032.0</c:v>
                </c:pt>
                <c:pt idx="3">
                  <c:v>4032.0</c:v>
                </c:pt>
                <c:pt idx="4">
                  <c:v>4032.0</c:v>
                </c:pt>
                <c:pt idx="5">
                  <c:v>4032.0</c:v>
                </c:pt>
                <c:pt idx="6">
                  <c:v>4032.0</c:v>
                </c:pt>
                <c:pt idx="7">
                  <c:v>4032.0</c:v>
                </c:pt>
                <c:pt idx="8">
                  <c:v>4032.0</c:v>
                </c:pt>
                <c:pt idx="9">
                  <c:v>4032.0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666.2612884376946</c:v>
                </c:pt>
                <c:pt idx="1">
                  <c:v>666.2612884376946</c:v>
                </c:pt>
                <c:pt idx="2">
                  <c:v>666.2612884376946</c:v>
                </c:pt>
                <c:pt idx="3">
                  <c:v>666.2612884376946</c:v>
                </c:pt>
                <c:pt idx="4">
                  <c:v>666.2612884376946</c:v>
                </c:pt>
                <c:pt idx="5">
                  <c:v>666.2612884376946</c:v>
                </c:pt>
                <c:pt idx="6">
                  <c:v>666.2612884376946</c:v>
                </c:pt>
                <c:pt idx="7">
                  <c:v>666.2612884376946</c:v>
                </c:pt>
                <c:pt idx="8">
                  <c:v>666.2612884376946</c:v>
                </c:pt>
                <c:pt idx="9">
                  <c:v>666.2612884376946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2688.0</c:v>
                </c:pt>
                <c:pt idx="1">
                  <c:v>2688.0</c:v>
                </c:pt>
                <c:pt idx="2">
                  <c:v>2688.0</c:v>
                </c:pt>
                <c:pt idx="3">
                  <c:v>2688.0</c:v>
                </c:pt>
                <c:pt idx="4">
                  <c:v>2688.0</c:v>
                </c:pt>
                <c:pt idx="5">
                  <c:v>2688.0</c:v>
                </c:pt>
                <c:pt idx="6">
                  <c:v>2688.0</c:v>
                </c:pt>
                <c:pt idx="7">
                  <c:v>2688.0</c:v>
                </c:pt>
                <c:pt idx="8">
                  <c:v>2688.0</c:v>
                </c:pt>
                <c:pt idx="9">
                  <c:v>2688.0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0856824"/>
        <c:axId val="1870861288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18678.90446395996</c:v>
                </c:pt>
                <c:pt idx="1">
                  <c:v>18678.90446395996</c:v>
                </c:pt>
                <c:pt idx="2">
                  <c:v>18678.90446395996</c:v>
                </c:pt>
                <c:pt idx="3">
                  <c:v>18678.90446395997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31956.5873338105</c:v>
                </c:pt>
                <c:pt idx="1">
                  <c:v>31956.5873338105</c:v>
                </c:pt>
                <c:pt idx="2">
                  <c:v>31956.5873338105</c:v>
                </c:pt>
                <c:pt idx="3">
                  <c:v>31956.5873338105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0856824"/>
        <c:axId val="1870861288"/>
      </c:lineChart>
      <c:catAx>
        <c:axId val="187085682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0861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70861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08568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Poor!$A$61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Poor!$K$61:$M$61</c:f>
              <c:numCache>
                <c:formatCode>0%</c:formatCode>
                <c:ptCount val="3"/>
                <c:pt idx="0">
                  <c:v>0.100964982210866</c:v>
                </c:pt>
                <c:pt idx="1">
                  <c:v>0.10663321637355</c:v>
                </c:pt>
                <c:pt idx="2">
                  <c:v>0.0431059948978138</c:v>
                </c:pt>
              </c:numCache>
            </c:numRef>
          </c:val>
        </c:ser>
        <c:ser>
          <c:idx val="0"/>
          <c:order val="1"/>
          <c:tx>
            <c:strRef>
              <c:f>Poor!$A$57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0.302384400336476</c:v>
                </c:pt>
                <c:pt idx="1">
                  <c:v>0.344718216383583</c:v>
                </c:pt>
                <c:pt idx="2">
                  <c:v>0.344718216383583</c:v>
                </c:pt>
              </c:numCache>
            </c:numRef>
          </c:val>
        </c:ser>
        <c:ser>
          <c:idx val="1"/>
          <c:order val="2"/>
          <c:tx>
            <c:strRef>
              <c:f>Poor!$A$58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0.262149967144835</c:v>
                </c:pt>
                <c:pt idx="1">
                  <c:v>0.290986463530767</c:v>
                </c:pt>
                <c:pt idx="2">
                  <c:v>0.290986463530767</c:v>
                </c:pt>
              </c:numCache>
            </c:numRef>
          </c:val>
        </c:ser>
        <c:ser>
          <c:idx val="5"/>
          <c:order val="3"/>
          <c:tx>
            <c:strRef>
              <c:f>Poor!$A$108</c:f>
              <c:strCache>
                <c:ptCount val="1"/>
                <c:pt idx="0">
                  <c:v>ubpl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0.466862077743044</c:v>
                </c:pt>
                <c:pt idx="1">
                  <c:v>0.339160474517168</c:v>
                </c:pt>
                <c:pt idx="2">
                  <c:v>0.482541506213371</c:v>
                </c:pt>
              </c:numCache>
            </c:numRef>
          </c:val>
        </c:ser>
        <c:ser>
          <c:idx val="6"/>
          <c:order val="4"/>
          <c:tx>
            <c:strRef>
              <c:f>Poor!$A$60</c:f>
              <c:strCache>
                <c:ptCount val="1"/>
                <c:pt idx="0">
                  <c:v>resilience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0.0559794734702468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5"/>
          <c:tx>
            <c:strRef>
              <c:f>Poor!$A$62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Poor!$K$62:$M$62</c:f>
              <c:numCache>
                <c:formatCode>0%</c:formatCode>
                <c:ptCount val="3"/>
                <c:pt idx="0">
                  <c:v>-0.188340900905468</c:v>
                </c:pt>
                <c:pt idx="1">
                  <c:v>-5.98640774736936E-17</c:v>
                </c:pt>
                <c:pt idx="2">
                  <c:v>5.98640774736936E-17</c:v>
                </c:pt>
              </c:numCache>
            </c:numRef>
          </c:val>
        </c:ser>
        <c:ser>
          <c:idx val="4"/>
          <c:order val="6"/>
          <c:tx>
            <c:strRef>
              <c:f>Poor!$A$64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Poor!$K$64:$M$64</c:f>
              <c:numCache>
                <c:formatCode>0%</c:formatCode>
                <c:ptCount val="3"/>
                <c:pt idx="1">
                  <c:v>-0.241193647329585</c:v>
                </c:pt>
                <c:pt idx="2">
                  <c:v>-0.0978126156333816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41826360"/>
        <c:axId val="2141819096"/>
      </c:barChart>
      <c:catAx>
        <c:axId val="214182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819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1819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8263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Middle!$A$57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0.152269899820297</c:v>
                </c:pt>
                <c:pt idx="1">
                  <c:v>0.173587685795138</c:v>
                </c:pt>
                <c:pt idx="2">
                  <c:v>0.173587685795138</c:v>
                </c:pt>
              </c:numCache>
            </c:numRef>
          </c:val>
        </c:ser>
        <c:ser>
          <c:idx val="2"/>
          <c:order val="1"/>
          <c:tx>
            <c:strRef>
              <c:f>Middle!$A$61</c:f>
              <c:strCache>
                <c:ptCount val="1"/>
                <c:pt idx="0">
                  <c:v>staple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Middle!$K$61:$M$61</c:f>
              <c:numCache>
                <c:formatCode>0%</c:formatCode>
                <c:ptCount val="3"/>
                <c:pt idx="0">
                  <c:v>0.0444975731282073</c:v>
                </c:pt>
                <c:pt idx="1">
                  <c:v>0.0469820118274573</c:v>
                </c:pt>
                <c:pt idx="2">
                  <c:v>0.0504825337678776</c:v>
                </c:pt>
              </c:numCache>
            </c:numRef>
          </c:val>
        </c:ser>
        <c:ser>
          <c:idx val="1"/>
          <c:order val="2"/>
          <c:tx>
            <c:strRef>
              <c:f>Middle!$A$58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0.132009287485135</c:v>
                </c:pt>
                <c:pt idx="1">
                  <c:v>0.1465303091085</c:v>
                </c:pt>
                <c:pt idx="2">
                  <c:v>0.1465303091085</c:v>
                </c:pt>
              </c:numCache>
            </c:numRef>
          </c:val>
        </c:ser>
        <c:ser>
          <c:idx val="3"/>
          <c:order val="3"/>
          <c:tx>
            <c:strRef>
              <c:f>Middle!$A$62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Middle!$K$62:$M$62</c:f>
              <c:numCache>
                <c:formatCode>0%</c:formatCode>
                <c:ptCount val="3"/>
                <c:pt idx="0">
                  <c:v>0.182820511099447</c:v>
                </c:pt>
                <c:pt idx="1">
                  <c:v>0.159422173897189</c:v>
                </c:pt>
                <c:pt idx="2">
                  <c:v>0.144318261568381</c:v>
                </c:pt>
              </c:numCache>
            </c:numRef>
          </c:val>
        </c:ser>
        <c:ser>
          <c:idx val="4"/>
          <c:order val="4"/>
          <c:tx>
            <c:strRef>
              <c:f>Middle!$A$64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25400">
              <a:noFill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Middle!$K$64:$M$64</c:f>
              <c:numCache>
                <c:formatCode>0%</c:formatCode>
                <c:ptCount val="3"/>
                <c:pt idx="1">
                  <c:v>-0.1465303091085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Middle!$A$108</c:f>
              <c:strCache>
                <c:ptCount val="1"/>
                <c:pt idx="0">
                  <c:v>ubpl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val>
            <c:numRef>
              <c:f>Middle!$K$108:$M$108</c:f>
              <c:numCache>
                <c:formatCode>0%</c:formatCode>
                <c:ptCount val="3"/>
                <c:pt idx="0">
                  <c:v>2.909188160398505</c:v>
                </c:pt>
                <c:pt idx="1">
                  <c:v>2.883213266109233</c:v>
                </c:pt>
                <c:pt idx="2">
                  <c:v>2.883213266109233</c:v>
                </c:pt>
              </c:numCache>
            </c:numRef>
          </c:val>
        </c:ser>
        <c:ser>
          <c:idx val="6"/>
          <c:order val="6"/>
          <c:tx>
            <c:strRef>
              <c:f>Middle!$A$109</c:f>
              <c:strCache>
                <c:ptCount val="1"/>
                <c:pt idx="0">
                  <c:v>resilience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val>
            <c:numRef>
              <c:f>Middle!$K$109:$M$109</c:f>
              <c:numCache>
                <c:formatCode>0%</c:formatCode>
                <c:ptCount val="3"/>
                <c:pt idx="0">
                  <c:v>3.134563559983396</c:v>
                </c:pt>
                <c:pt idx="1">
                  <c:v>3.106576385340687</c:v>
                </c:pt>
                <c:pt idx="2">
                  <c:v>3.106576385340687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41747112"/>
        <c:axId val="2141745624"/>
      </c:barChart>
      <c:catAx>
        <c:axId val="2141747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745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1745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74711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890558149257891"/>
          <c:y val="0.770303507516106"/>
          <c:w val="0.810386964903723"/>
          <c:h val="0.2178788475304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Rich!$A$57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0.0374076231863993</c:v>
                </c:pt>
                <c:pt idx="1">
                  <c:v>0.0426446904324952</c:v>
                </c:pt>
                <c:pt idx="2">
                  <c:v>0.0426446904324952</c:v>
                </c:pt>
              </c:numCache>
            </c:numRef>
          </c:val>
        </c:ser>
        <c:ser>
          <c:idx val="2"/>
          <c:order val="1"/>
          <c:tx>
            <c:strRef>
              <c:f>Rich!$A$61</c:f>
              <c:strCache>
                <c:ptCount val="1"/>
                <c:pt idx="0">
                  <c:v>staple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Rich!$K$61:$M$61</c:f>
              <c:numCache>
                <c:formatCode>0%</c:formatCode>
                <c:ptCount val="3"/>
                <c:pt idx="0">
                  <c:v>0.0101202165279949</c:v>
                </c:pt>
                <c:pt idx="1">
                  <c:v>0.0107530664405445</c:v>
                </c:pt>
                <c:pt idx="2">
                  <c:v>0.0114033730993475</c:v>
                </c:pt>
              </c:numCache>
            </c:numRef>
          </c:val>
        </c:ser>
        <c:ser>
          <c:idx val="1"/>
          <c:order val="2"/>
          <c:tx>
            <c:strRef>
              <c:f>Rich!$A$58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0.0324302681565879</c:v>
                </c:pt>
                <c:pt idx="1">
                  <c:v>0.0359975976538126</c:v>
                </c:pt>
                <c:pt idx="2">
                  <c:v>0.0359975976538126</c:v>
                </c:pt>
              </c:numCache>
            </c:numRef>
          </c:val>
        </c:ser>
        <c:ser>
          <c:idx val="3"/>
          <c:order val="3"/>
          <c:tx>
            <c:strRef>
              <c:f>Rich!$A$62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Rich!$K$62:$M$62</c:f>
              <c:numCache>
                <c:formatCode>0%</c:formatCode>
                <c:ptCount val="3"/>
                <c:pt idx="0">
                  <c:v>0.718848771827885</c:v>
                </c:pt>
                <c:pt idx="1">
                  <c:v>0.752711367742028</c:v>
                </c:pt>
                <c:pt idx="2">
                  <c:v>0.746621139165618</c:v>
                </c:pt>
              </c:numCache>
            </c:numRef>
          </c:val>
        </c:ser>
        <c:ser>
          <c:idx val="4"/>
          <c:order val="4"/>
          <c:tx>
            <c:strRef>
              <c:f>Rich!$A$64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Rich!$K$64:$M$64</c:f>
              <c:numCache>
                <c:formatCode>0%</c:formatCode>
                <c:ptCount val="3"/>
                <c:pt idx="1">
                  <c:v>-0.0359975976538125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Rich!$A$59</c:f>
              <c:strCache>
                <c:ptCount val="1"/>
                <c:pt idx="0">
                  <c:v>ubpl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val>
            <c:numRef>
              <c:f>Rich!$K$59:$M$59</c:f>
              <c:numCache>
                <c:formatCode>0%</c:formatCode>
                <c:ptCount val="3"/>
                <c:pt idx="0">
                  <c:v>0.0577549657482267</c:v>
                </c:pt>
                <c:pt idx="1">
                  <c:v>0.0641080119805316</c:v>
                </c:pt>
                <c:pt idx="2">
                  <c:v>0.0641080119805316</c:v>
                </c:pt>
              </c:numCache>
            </c:numRef>
          </c:val>
        </c:ser>
        <c:ser>
          <c:idx val="6"/>
          <c:order val="6"/>
          <c:tx>
            <c:strRef>
              <c:f>Rich!$A$60</c:f>
              <c:strCache>
                <c:ptCount val="1"/>
                <c:pt idx="0">
                  <c:v>resilience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0.143438154552906</c:v>
                </c:pt>
                <c:pt idx="1">
                  <c:v>0.159216351553725</c:v>
                </c:pt>
                <c:pt idx="2">
                  <c:v>0.159216351553725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41667960"/>
        <c:axId val="2141660712"/>
      </c:barChart>
      <c:catAx>
        <c:axId val="214166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660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1660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6679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V.Poor!$A$57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0.399729554165536</c:v>
                </c:pt>
                <c:pt idx="1">
                  <c:v>0.455691691748711</c:v>
                </c:pt>
                <c:pt idx="2">
                  <c:v>0.45569169174871</c:v>
                </c:pt>
              </c:numCache>
            </c:numRef>
          </c:val>
        </c:ser>
        <c:ser>
          <c:idx val="2"/>
          <c:order val="1"/>
          <c:tx>
            <c:strRef>
              <c:f>V.Poor!$A$61</c:f>
              <c:strCache>
                <c:ptCount val="1"/>
                <c:pt idx="0">
                  <c:v>staple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V.Poor!$K$61:$M$61</c:f>
              <c:numCache>
                <c:formatCode>0%</c:formatCode>
                <c:ptCount val="3"/>
                <c:pt idx="0">
                  <c:v>0.146814967996461</c:v>
                </c:pt>
                <c:pt idx="1">
                  <c:v>0.154710729942574</c:v>
                </c:pt>
                <c:pt idx="2">
                  <c:v>0.0751751296598397</c:v>
                </c:pt>
              </c:numCache>
            </c:numRef>
          </c:val>
        </c:ser>
        <c:ser>
          <c:idx val="1"/>
          <c:order val="2"/>
          <c:tx>
            <c:strRef>
              <c:f>V.Poor!$A$58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0.346542643650636</c:v>
                </c:pt>
                <c:pt idx="1">
                  <c:v>0.384662334452206</c:v>
                </c:pt>
                <c:pt idx="2">
                  <c:v>0.384662334452206</c:v>
                </c:pt>
              </c:numCache>
            </c:numRef>
          </c:val>
        </c:ser>
        <c:ser>
          <c:idx val="3"/>
          <c:order val="3"/>
          <c:tx>
            <c:strRef>
              <c:f>V.Poor!$A$62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V.Poor!$K$62:$M$62</c:f>
              <c:numCache>
                <c:formatCode>0%</c:formatCode>
                <c:ptCount val="3"/>
                <c:pt idx="0">
                  <c:v>-0.538479833207175</c:v>
                </c:pt>
                <c:pt idx="1">
                  <c:v>0.0</c:v>
                </c:pt>
                <c:pt idx="2">
                  <c:v>5.27572211010517E-17</c:v>
                </c:pt>
              </c:numCache>
            </c:numRef>
          </c:val>
        </c:ser>
        <c:ser>
          <c:idx val="4"/>
          <c:order val="4"/>
          <c:tx>
            <c:strRef>
              <c:f>V.Poor!$A$64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V.Poor!$K$64:$M$64</c:f>
              <c:numCache>
                <c:formatCode>0%</c:formatCode>
                <c:ptCount val="3"/>
                <c:pt idx="1">
                  <c:v>-1.007868052680533</c:v>
                </c:pt>
                <c:pt idx="2">
                  <c:v>-0.540278327159764</c:v>
                </c:pt>
              </c:numCache>
            </c:numRef>
          </c:val>
        </c:ser>
        <c:ser>
          <c:idx val="5"/>
          <c:order val="5"/>
          <c:tx>
            <c:strRef>
              <c:f>V.Poor!$A$59</c:f>
              <c:strCache>
                <c:ptCount val="1"/>
                <c:pt idx="0">
                  <c:v>ubpl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val>
            <c:numRef>
              <c:f>V.Poor!$K$59:$M$59</c:f>
              <c:numCache>
                <c:formatCode>0%</c:formatCode>
                <c:ptCount val="3"/>
                <c:pt idx="0">
                  <c:v>0.617156738196031</c:v>
                </c:pt>
                <c:pt idx="1">
                  <c:v>0.093180142579615</c:v>
                </c:pt>
                <c:pt idx="2">
                  <c:v>0.176107533648178</c:v>
                </c:pt>
              </c:numCache>
            </c:numRef>
          </c:val>
        </c:ser>
        <c:ser>
          <c:idx val="6"/>
          <c:order val="6"/>
          <c:tx>
            <c:strRef>
              <c:f>V.Poor!$A$60</c:f>
              <c:strCache>
                <c:ptCount val="1"/>
                <c:pt idx="0">
                  <c:v>resilience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0.0282359291985112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41589000"/>
        <c:axId val="2141586664"/>
      </c:barChart>
      <c:catAx>
        <c:axId val="2141589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5866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1586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5890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1487.014504543879</c:v>
                </c:pt>
                <c:pt idx="1">
                  <c:v>1487.014504543879</c:v>
                </c:pt>
                <c:pt idx="2">
                  <c:v>1487.014504543879</c:v>
                </c:pt>
                <c:pt idx="3">
                  <c:v>1487.014504543879</c:v>
                </c:pt>
                <c:pt idx="4">
                  <c:v>1487.014504543879</c:v>
                </c:pt>
                <c:pt idx="5">
                  <c:v>1487.014504543879</c:v>
                </c:pt>
                <c:pt idx="6">
                  <c:v>1487.014504543879</c:v>
                </c:pt>
                <c:pt idx="7">
                  <c:v>1487.014504543879</c:v>
                </c:pt>
                <c:pt idx="8">
                  <c:v>1487.014504543879</c:v>
                </c:pt>
                <c:pt idx="9">
                  <c:v>1487.014504543879</c:v>
                </c:pt>
                <c:pt idx="10">
                  <c:v>1487.014504543879</c:v>
                </c:pt>
                <c:pt idx="11">
                  <c:v>1487.014504543879</c:v>
                </c:pt>
                <c:pt idx="12">
                  <c:v>1487.014504543879</c:v>
                </c:pt>
                <c:pt idx="13">
                  <c:v>1487.014504543879</c:v>
                </c:pt>
                <c:pt idx="14">
                  <c:v>1487.014504543879</c:v>
                </c:pt>
                <c:pt idx="15">
                  <c:v>1487.014504543879</c:v>
                </c:pt>
                <c:pt idx="16">
                  <c:v>1487.014504543879</c:v>
                </c:pt>
                <c:pt idx="17">
                  <c:v>1487.014504543879</c:v>
                </c:pt>
                <c:pt idx="18">
                  <c:v>1487.014504543879</c:v>
                </c:pt>
                <c:pt idx="19">
                  <c:v>1487.014504543879</c:v>
                </c:pt>
                <c:pt idx="20">
                  <c:v>1487.014504543879</c:v>
                </c:pt>
                <c:pt idx="21">
                  <c:v>1487.014504543879</c:v>
                </c:pt>
                <c:pt idx="22">
                  <c:v>1487.014504543879</c:v>
                </c:pt>
                <c:pt idx="23">
                  <c:v>1487.014504543879</c:v>
                </c:pt>
                <c:pt idx="24">
                  <c:v>1487.014504543879</c:v>
                </c:pt>
                <c:pt idx="25">
                  <c:v>1487.014504543879</c:v>
                </c:pt>
                <c:pt idx="26">
                  <c:v>1487.014504543879</c:v>
                </c:pt>
                <c:pt idx="27">
                  <c:v>1487.014504543879</c:v>
                </c:pt>
                <c:pt idx="28">
                  <c:v>1487.014504543879</c:v>
                </c:pt>
                <c:pt idx="29">
                  <c:v>1487.014504543879</c:v>
                </c:pt>
                <c:pt idx="30">
                  <c:v>1487.014504543879</c:v>
                </c:pt>
                <c:pt idx="31">
                  <c:v>1487.014504543879</c:v>
                </c:pt>
                <c:pt idx="32">
                  <c:v>1487.014504543879</c:v>
                </c:pt>
                <c:pt idx="33">
                  <c:v>1487.014504543879</c:v>
                </c:pt>
                <c:pt idx="34">
                  <c:v>1487.014504543879</c:v>
                </c:pt>
                <c:pt idx="35">
                  <c:v>1487.014504543879</c:v>
                </c:pt>
                <c:pt idx="36">
                  <c:v>1487.014504543879</c:v>
                </c:pt>
                <c:pt idx="37">
                  <c:v>1487.014504543879</c:v>
                </c:pt>
                <c:pt idx="38">
                  <c:v>1487.014504543879</c:v>
                </c:pt>
                <c:pt idx="39">
                  <c:v>1487.014504543879</c:v>
                </c:pt>
                <c:pt idx="40">
                  <c:v>1487.014504543879</c:v>
                </c:pt>
                <c:pt idx="41">
                  <c:v>1487.014504543879</c:v>
                </c:pt>
                <c:pt idx="42">
                  <c:v>1487.014504543879</c:v>
                </c:pt>
                <c:pt idx="43">
                  <c:v>1487.014504543879</c:v>
                </c:pt>
                <c:pt idx="44">
                  <c:v>1487.014504543879</c:v>
                </c:pt>
                <c:pt idx="45">
                  <c:v>1487.014504543879</c:v>
                </c:pt>
                <c:pt idx="46">
                  <c:v>1487.014504543879</c:v>
                </c:pt>
                <c:pt idx="47">
                  <c:v>1487.014504543879</c:v>
                </c:pt>
                <c:pt idx="48">
                  <c:v>1487.014504543879</c:v>
                </c:pt>
                <c:pt idx="49">
                  <c:v>3458.848800919703</c:v>
                </c:pt>
                <c:pt idx="50">
                  <c:v>3458.848800919703</c:v>
                </c:pt>
                <c:pt idx="51">
                  <c:v>3458.848800919703</c:v>
                </c:pt>
                <c:pt idx="52">
                  <c:v>3458.848800919703</c:v>
                </c:pt>
                <c:pt idx="53">
                  <c:v>3458.848800919703</c:v>
                </c:pt>
                <c:pt idx="54">
                  <c:v>3458.848800919703</c:v>
                </c:pt>
                <c:pt idx="55">
                  <c:v>3458.848800919703</c:v>
                </c:pt>
                <c:pt idx="56">
                  <c:v>3458.848800919703</c:v>
                </c:pt>
                <c:pt idx="57">
                  <c:v>3458.848800919703</c:v>
                </c:pt>
                <c:pt idx="58">
                  <c:v>3458.848800919703</c:v>
                </c:pt>
                <c:pt idx="59">
                  <c:v>3458.848800919703</c:v>
                </c:pt>
                <c:pt idx="60">
                  <c:v>3458.848800919703</c:v>
                </c:pt>
                <c:pt idx="61">
                  <c:v>3458.848800919703</c:v>
                </c:pt>
                <c:pt idx="62">
                  <c:v>3458.848800919703</c:v>
                </c:pt>
                <c:pt idx="63">
                  <c:v>3458.848800919703</c:v>
                </c:pt>
                <c:pt idx="64">
                  <c:v>3458.848800919703</c:v>
                </c:pt>
                <c:pt idx="65">
                  <c:v>3458.848800919703</c:v>
                </c:pt>
                <c:pt idx="66">
                  <c:v>3458.848800919703</c:v>
                </c:pt>
                <c:pt idx="67">
                  <c:v>3458.848800919703</c:v>
                </c:pt>
                <c:pt idx="68">
                  <c:v>3458.848800919703</c:v>
                </c:pt>
                <c:pt idx="69">
                  <c:v>3458.848800919703</c:v>
                </c:pt>
                <c:pt idx="70">
                  <c:v>3458.848800919703</c:v>
                </c:pt>
                <c:pt idx="71">
                  <c:v>3458.848800919703</c:v>
                </c:pt>
                <c:pt idx="72">
                  <c:v>3458.848800919703</c:v>
                </c:pt>
                <c:pt idx="73">
                  <c:v>3458.848800919703</c:v>
                </c:pt>
                <c:pt idx="74">
                  <c:v>3458.848800919703</c:v>
                </c:pt>
                <c:pt idx="75">
                  <c:v>3458.848800919703</c:v>
                </c:pt>
                <c:pt idx="76">
                  <c:v>3458.848800919703</c:v>
                </c:pt>
                <c:pt idx="77">
                  <c:v>3458.848800919703</c:v>
                </c:pt>
                <c:pt idx="78">
                  <c:v>3458.848800919703</c:v>
                </c:pt>
                <c:pt idx="79">
                  <c:v>3458.848800919703</c:v>
                </c:pt>
                <c:pt idx="80">
                  <c:v>3458.848800919703</c:v>
                </c:pt>
                <c:pt idx="81">
                  <c:v>3458.848800919703</c:v>
                </c:pt>
                <c:pt idx="82">
                  <c:v>3458.848800919703</c:v>
                </c:pt>
                <c:pt idx="83">
                  <c:v>3458.848800919703</c:v>
                </c:pt>
                <c:pt idx="84">
                  <c:v>3458.848800919703</c:v>
                </c:pt>
                <c:pt idx="85">
                  <c:v>3458.848800919703</c:v>
                </c:pt>
                <c:pt idx="86">
                  <c:v>3458.848800919703</c:v>
                </c:pt>
                <c:pt idx="87">
                  <c:v>3458.848800919703</c:v>
                </c:pt>
                <c:pt idx="88">
                  <c:v>3458.848800919703</c:v>
                </c:pt>
                <c:pt idx="89">
                  <c:v>3458.848800919703</c:v>
                </c:pt>
                <c:pt idx="90">
                  <c:v>3458.848800919703</c:v>
                </c:pt>
                <c:pt idx="91">
                  <c:v>3458.848800919703</c:v>
                </c:pt>
                <c:pt idx="92">
                  <c:v>3458.848800919703</c:v>
                </c:pt>
                <c:pt idx="93">
                  <c:v>3458.848800919703</c:v>
                </c:pt>
                <c:pt idx="94">
                  <c:v>3458.848800919703</c:v>
                </c:pt>
                <c:pt idx="95">
                  <c:v>3458.848800919703</c:v>
                </c:pt>
                <c:pt idx="96">
                  <c:v>3458.848800919703</c:v>
                </c:pt>
                <c:pt idx="97">
                  <c:v>3458.848800919703</c:v>
                </c:pt>
                <c:pt idx="98">
                  <c:v>3458.848800919703</c:v>
                </c:pt>
                <c:pt idx="99">
                  <c:v>3458.848800919703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18345.6</c:v>
                </c:pt>
                <c:pt idx="50">
                  <c:v>18345.6</c:v>
                </c:pt>
                <c:pt idx="51">
                  <c:v>18345.6</c:v>
                </c:pt>
                <c:pt idx="52">
                  <c:v>18345.6</c:v>
                </c:pt>
                <c:pt idx="53">
                  <c:v>18345.6</c:v>
                </c:pt>
                <c:pt idx="54">
                  <c:v>18345.6</c:v>
                </c:pt>
                <c:pt idx="55">
                  <c:v>18345.6</c:v>
                </c:pt>
                <c:pt idx="56">
                  <c:v>18345.6</c:v>
                </c:pt>
                <c:pt idx="57">
                  <c:v>18345.6</c:v>
                </c:pt>
                <c:pt idx="58">
                  <c:v>18345.6</c:v>
                </c:pt>
                <c:pt idx="59">
                  <c:v>18345.6</c:v>
                </c:pt>
                <c:pt idx="60">
                  <c:v>18345.6</c:v>
                </c:pt>
                <c:pt idx="61">
                  <c:v>18345.6</c:v>
                </c:pt>
                <c:pt idx="62">
                  <c:v>18345.6</c:v>
                </c:pt>
                <c:pt idx="63">
                  <c:v>18345.6</c:v>
                </c:pt>
                <c:pt idx="64">
                  <c:v>18345.6</c:v>
                </c:pt>
                <c:pt idx="65">
                  <c:v>18345.6</c:v>
                </c:pt>
                <c:pt idx="66">
                  <c:v>18345.6</c:v>
                </c:pt>
                <c:pt idx="67">
                  <c:v>18345.6</c:v>
                </c:pt>
                <c:pt idx="68">
                  <c:v>18345.6</c:v>
                </c:pt>
                <c:pt idx="69">
                  <c:v>18345.6</c:v>
                </c:pt>
                <c:pt idx="70">
                  <c:v>18345.6</c:v>
                </c:pt>
                <c:pt idx="71">
                  <c:v>18345.6</c:v>
                </c:pt>
                <c:pt idx="72">
                  <c:v>18345.6</c:v>
                </c:pt>
                <c:pt idx="73">
                  <c:v>18345.6</c:v>
                </c:pt>
                <c:pt idx="74">
                  <c:v>18345.6</c:v>
                </c:pt>
                <c:pt idx="75">
                  <c:v>18345.6</c:v>
                </c:pt>
                <c:pt idx="76">
                  <c:v>18345.6</c:v>
                </c:pt>
                <c:pt idx="77">
                  <c:v>18345.6</c:v>
                </c:pt>
                <c:pt idx="78">
                  <c:v>18345.6</c:v>
                </c:pt>
                <c:pt idx="79">
                  <c:v>18345.6</c:v>
                </c:pt>
                <c:pt idx="80">
                  <c:v>18345.6</c:v>
                </c:pt>
                <c:pt idx="81">
                  <c:v>18345.6</c:v>
                </c:pt>
                <c:pt idx="82">
                  <c:v>18345.6</c:v>
                </c:pt>
                <c:pt idx="83">
                  <c:v>18345.6</c:v>
                </c:pt>
                <c:pt idx="84">
                  <c:v>18345.6</c:v>
                </c:pt>
                <c:pt idx="85">
                  <c:v>18345.6</c:v>
                </c:pt>
                <c:pt idx="86">
                  <c:v>18345.6</c:v>
                </c:pt>
                <c:pt idx="87">
                  <c:v>18345.6</c:v>
                </c:pt>
                <c:pt idx="88">
                  <c:v>18345.6</c:v>
                </c:pt>
                <c:pt idx="89">
                  <c:v>18345.6</c:v>
                </c:pt>
                <c:pt idx="90">
                  <c:v>18345.6</c:v>
                </c:pt>
                <c:pt idx="91">
                  <c:v>18345.6</c:v>
                </c:pt>
                <c:pt idx="92">
                  <c:v>18345.6</c:v>
                </c:pt>
                <c:pt idx="93">
                  <c:v>18345.6</c:v>
                </c:pt>
                <c:pt idx="94">
                  <c:v>18345.6</c:v>
                </c:pt>
                <c:pt idx="95">
                  <c:v>18345.6</c:v>
                </c:pt>
                <c:pt idx="96">
                  <c:v>18345.6</c:v>
                </c:pt>
                <c:pt idx="97">
                  <c:v>18345.6</c:v>
                </c:pt>
                <c:pt idx="98">
                  <c:v>18345.6</c:v>
                </c:pt>
                <c:pt idx="99">
                  <c:v>18345.6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1530.359424806298</c:v>
                </c:pt>
                <c:pt idx="50">
                  <c:v>1530.359424806298</c:v>
                </c:pt>
                <c:pt idx="51">
                  <c:v>1530.359424806298</c:v>
                </c:pt>
                <c:pt idx="52">
                  <c:v>1530.359424806298</c:v>
                </c:pt>
                <c:pt idx="53">
                  <c:v>1530.359424806298</c:v>
                </c:pt>
                <c:pt idx="54">
                  <c:v>1530.359424806298</c:v>
                </c:pt>
                <c:pt idx="55">
                  <c:v>1530.359424806298</c:v>
                </c:pt>
                <c:pt idx="56">
                  <c:v>1530.359424806298</c:v>
                </c:pt>
                <c:pt idx="57">
                  <c:v>1530.359424806298</c:v>
                </c:pt>
                <c:pt idx="58">
                  <c:v>1530.359424806298</c:v>
                </c:pt>
                <c:pt idx="59">
                  <c:v>1530.359424806298</c:v>
                </c:pt>
                <c:pt idx="60">
                  <c:v>1530.359424806298</c:v>
                </c:pt>
                <c:pt idx="61">
                  <c:v>1530.359424806298</c:v>
                </c:pt>
                <c:pt idx="62">
                  <c:v>1530.359424806298</c:v>
                </c:pt>
                <c:pt idx="63">
                  <c:v>1530.359424806298</c:v>
                </c:pt>
                <c:pt idx="64">
                  <c:v>1530.359424806298</c:v>
                </c:pt>
                <c:pt idx="65">
                  <c:v>1530.359424806298</c:v>
                </c:pt>
                <c:pt idx="66">
                  <c:v>1530.359424806298</c:v>
                </c:pt>
                <c:pt idx="67">
                  <c:v>1530.359424806298</c:v>
                </c:pt>
                <c:pt idx="68">
                  <c:v>1530.359424806298</c:v>
                </c:pt>
                <c:pt idx="69">
                  <c:v>1530.359424806298</c:v>
                </c:pt>
                <c:pt idx="70">
                  <c:v>1530.359424806298</c:v>
                </c:pt>
                <c:pt idx="71">
                  <c:v>1530.359424806298</c:v>
                </c:pt>
                <c:pt idx="72">
                  <c:v>1530.359424806298</c:v>
                </c:pt>
                <c:pt idx="73">
                  <c:v>1530.359424806298</c:v>
                </c:pt>
                <c:pt idx="74">
                  <c:v>1530.359424806298</c:v>
                </c:pt>
                <c:pt idx="75">
                  <c:v>1530.359424806298</c:v>
                </c:pt>
                <c:pt idx="76">
                  <c:v>1530.359424806298</c:v>
                </c:pt>
                <c:pt idx="77">
                  <c:v>1530.359424806298</c:v>
                </c:pt>
                <c:pt idx="78">
                  <c:v>1530.359424806298</c:v>
                </c:pt>
                <c:pt idx="79">
                  <c:v>1530.359424806298</c:v>
                </c:pt>
                <c:pt idx="80">
                  <c:v>1530.359424806298</c:v>
                </c:pt>
                <c:pt idx="81">
                  <c:v>1530.359424806298</c:v>
                </c:pt>
                <c:pt idx="82">
                  <c:v>1530.359424806298</c:v>
                </c:pt>
                <c:pt idx="83">
                  <c:v>1530.359424806298</c:v>
                </c:pt>
                <c:pt idx="84">
                  <c:v>1530.359424806298</c:v>
                </c:pt>
                <c:pt idx="85">
                  <c:v>1530.359424806298</c:v>
                </c:pt>
                <c:pt idx="86">
                  <c:v>1530.359424806298</c:v>
                </c:pt>
                <c:pt idx="87">
                  <c:v>1530.359424806298</c:v>
                </c:pt>
                <c:pt idx="88">
                  <c:v>1530.359424806298</c:v>
                </c:pt>
                <c:pt idx="89">
                  <c:v>1530.359424806298</c:v>
                </c:pt>
                <c:pt idx="90">
                  <c:v>1530.359424806298</c:v>
                </c:pt>
                <c:pt idx="91">
                  <c:v>1530.359424806298</c:v>
                </c:pt>
                <c:pt idx="92">
                  <c:v>1530.359424806298</c:v>
                </c:pt>
                <c:pt idx="93">
                  <c:v>1530.359424806298</c:v>
                </c:pt>
                <c:pt idx="94">
                  <c:v>1530.359424806298</c:v>
                </c:pt>
                <c:pt idx="95">
                  <c:v>1530.359424806298</c:v>
                </c:pt>
                <c:pt idx="96">
                  <c:v>1530.359424806298</c:v>
                </c:pt>
                <c:pt idx="97">
                  <c:v>1530.359424806298</c:v>
                </c:pt>
                <c:pt idx="98">
                  <c:v>1530.359424806298</c:v>
                </c:pt>
                <c:pt idx="99">
                  <c:v>1530.359424806298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711.2000000000001</c:v>
                </c:pt>
                <c:pt idx="1">
                  <c:v>711.2000000000001</c:v>
                </c:pt>
                <c:pt idx="2">
                  <c:v>711.2000000000001</c:v>
                </c:pt>
                <c:pt idx="3">
                  <c:v>711.2000000000001</c:v>
                </c:pt>
                <c:pt idx="4">
                  <c:v>711.2000000000001</c:v>
                </c:pt>
                <c:pt idx="5">
                  <c:v>711.2000000000001</c:v>
                </c:pt>
                <c:pt idx="6">
                  <c:v>711.2000000000001</c:v>
                </c:pt>
                <c:pt idx="7">
                  <c:v>711.2000000000001</c:v>
                </c:pt>
                <c:pt idx="8">
                  <c:v>711.2000000000001</c:v>
                </c:pt>
                <c:pt idx="9">
                  <c:v>711.2000000000001</c:v>
                </c:pt>
                <c:pt idx="10">
                  <c:v>711.2000000000001</c:v>
                </c:pt>
                <c:pt idx="11">
                  <c:v>711.2000000000001</c:v>
                </c:pt>
                <c:pt idx="12">
                  <c:v>711.2000000000001</c:v>
                </c:pt>
                <c:pt idx="13">
                  <c:v>711.2000000000001</c:v>
                </c:pt>
                <c:pt idx="14">
                  <c:v>711.2000000000001</c:v>
                </c:pt>
                <c:pt idx="15">
                  <c:v>711.2000000000001</c:v>
                </c:pt>
                <c:pt idx="16">
                  <c:v>711.2000000000001</c:v>
                </c:pt>
                <c:pt idx="17">
                  <c:v>711.2000000000001</c:v>
                </c:pt>
                <c:pt idx="18">
                  <c:v>711.2000000000001</c:v>
                </c:pt>
                <c:pt idx="19">
                  <c:v>711.2000000000001</c:v>
                </c:pt>
                <c:pt idx="20">
                  <c:v>711.2000000000001</c:v>
                </c:pt>
                <c:pt idx="21">
                  <c:v>711.2000000000001</c:v>
                </c:pt>
                <c:pt idx="22">
                  <c:v>711.2000000000001</c:v>
                </c:pt>
                <c:pt idx="23">
                  <c:v>711.2000000000001</c:v>
                </c:pt>
                <c:pt idx="24">
                  <c:v>711.2000000000001</c:v>
                </c:pt>
                <c:pt idx="25">
                  <c:v>711.2000000000001</c:v>
                </c:pt>
                <c:pt idx="26">
                  <c:v>711.2000000000001</c:v>
                </c:pt>
                <c:pt idx="27">
                  <c:v>711.2000000000001</c:v>
                </c:pt>
                <c:pt idx="28">
                  <c:v>711.2000000000001</c:v>
                </c:pt>
                <c:pt idx="29">
                  <c:v>711.2000000000001</c:v>
                </c:pt>
                <c:pt idx="30">
                  <c:v>711.2000000000001</c:v>
                </c:pt>
                <c:pt idx="31">
                  <c:v>711.2000000000001</c:v>
                </c:pt>
                <c:pt idx="32">
                  <c:v>711.2000000000001</c:v>
                </c:pt>
                <c:pt idx="33">
                  <c:v>711.2000000000001</c:v>
                </c:pt>
                <c:pt idx="34">
                  <c:v>711.2000000000001</c:v>
                </c:pt>
                <c:pt idx="35">
                  <c:v>711.2000000000001</c:v>
                </c:pt>
                <c:pt idx="36">
                  <c:v>711.2000000000001</c:v>
                </c:pt>
                <c:pt idx="37">
                  <c:v>711.2000000000001</c:v>
                </c:pt>
                <c:pt idx="38">
                  <c:v>711.2000000000001</c:v>
                </c:pt>
                <c:pt idx="39">
                  <c:v>711.2000000000001</c:v>
                </c:pt>
                <c:pt idx="40">
                  <c:v>711.2000000000001</c:v>
                </c:pt>
                <c:pt idx="41">
                  <c:v>711.2000000000001</c:v>
                </c:pt>
                <c:pt idx="42">
                  <c:v>711.2000000000001</c:v>
                </c:pt>
                <c:pt idx="43">
                  <c:v>711.2000000000001</c:v>
                </c:pt>
                <c:pt idx="44">
                  <c:v>711.2000000000001</c:v>
                </c:pt>
                <c:pt idx="45">
                  <c:v>711.2000000000001</c:v>
                </c:pt>
                <c:pt idx="46">
                  <c:v>711.2000000000001</c:v>
                </c:pt>
                <c:pt idx="47">
                  <c:v>711.2000000000001</c:v>
                </c:pt>
                <c:pt idx="48">
                  <c:v>711.2000000000001</c:v>
                </c:pt>
                <c:pt idx="49">
                  <c:v>24333.12</c:v>
                </c:pt>
                <c:pt idx="50">
                  <c:v>24333.12</c:v>
                </c:pt>
                <c:pt idx="51">
                  <c:v>24333.12</c:v>
                </c:pt>
                <c:pt idx="52">
                  <c:v>24333.12</c:v>
                </c:pt>
                <c:pt idx="53">
                  <c:v>24333.12</c:v>
                </c:pt>
                <c:pt idx="54">
                  <c:v>24333.12</c:v>
                </c:pt>
                <c:pt idx="55">
                  <c:v>24333.12</c:v>
                </c:pt>
                <c:pt idx="56">
                  <c:v>24333.12</c:v>
                </c:pt>
                <c:pt idx="57">
                  <c:v>24333.12</c:v>
                </c:pt>
                <c:pt idx="58">
                  <c:v>24333.12</c:v>
                </c:pt>
                <c:pt idx="59">
                  <c:v>24333.12</c:v>
                </c:pt>
                <c:pt idx="60">
                  <c:v>24333.12</c:v>
                </c:pt>
                <c:pt idx="61">
                  <c:v>24333.12</c:v>
                </c:pt>
                <c:pt idx="62">
                  <c:v>24333.12</c:v>
                </c:pt>
                <c:pt idx="63">
                  <c:v>24333.12</c:v>
                </c:pt>
                <c:pt idx="64">
                  <c:v>24333.12</c:v>
                </c:pt>
                <c:pt idx="65">
                  <c:v>24333.12</c:v>
                </c:pt>
                <c:pt idx="66">
                  <c:v>24333.12</c:v>
                </c:pt>
                <c:pt idx="67">
                  <c:v>24333.12</c:v>
                </c:pt>
                <c:pt idx="68">
                  <c:v>24333.12</c:v>
                </c:pt>
                <c:pt idx="69">
                  <c:v>24333.12</c:v>
                </c:pt>
                <c:pt idx="70">
                  <c:v>24333.12</c:v>
                </c:pt>
                <c:pt idx="71">
                  <c:v>24333.12</c:v>
                </c:pt>
                <c:pt idx="72">
                  <c:v>24333.12</c:v>
                </c:pt>
                <c:pt idx="73">
                  <c:v>24333.12</c:v>
                </c:pt>
                <c:pt idx="74">
                  <c:v>24333.12</c:v>
                </c:pt>
                <c:pt idx="75">
                  <c:v>24333.12</c:v>
                </c:pt>
                <c:pt idx="76">
                  <c:v>24333.12</c:v>
                </c:pt>
                <c:pt idx="77">
                  <c:v>24333.12</c:v>
                </c:pt>
                <c:pt idx="78">
                  <c:v>24333.12</c:v>
                </c:pt>
                <c:pt idx="79">
                  <c:v>24333.12</c:v>
                </c:pt>
                <c:pt idx="80">
                  <c:v>24333.12</c:v>
                </c:pt>
                <c:pt idx="81">
                  <c:v>24333.12</c:v>
                </c:pt>
                <c:pt idx="82">
                  <c:v>24333.12</c:v>
                </c:pt>
                <c:pt idx="83">
                  <c:v>24333.12</c:v>
                </c:pt>
                <c:pt idx="84">
                  <c:v>24333.12</c:v>
                </c:pt>
                <c:pt idx="85">
                  <c:v>24333.12</c:v>
                </c:pt>
                <c:pt idx="86">
                  <c:v>24333.12</c:v>
                </c:pt>
                <c:pt idx="87">
                  <c:v>24333.12</c:v>
                </c:pt>
                <c:pt idx="88">
                  <c:v>24333.12</c:v>
                </c:pt>
                <c:pt idx="89">
                  <c:v>24333.12</c:v>
                </c:pt>
                <c:pt idx="90">
                  <c:v>24333.12</c:v>
                </c:pt>
                <c:pt idx="91">
                  <c:v>24333.12</c:v>
                </c:pt>
                <c:pt idx="92">
                  <c:v>24333.12</c:v>
                </c:pt>
                <c:pt idx="93">
                  <c:v>24333.12</c:v>
                </c:pt>
                <c:pt idx="94">
                  <c:v>24333.12</c:v>
                </c:pt>
                <c:pt idx="95">
                  <c:v>24333.12</c:v>
                </c:pt>
                <c:pt idx="96">
                  <c:v>24333.12</c:v>
                </c:pt>
                <c:pt idx="97">
                  <c:v>24333.12</c:v>
                </c:pt>
                <c:pt idx="98">
                  <c:v>24333.12</c:v>
                </c:pt>
                <c:pt idx="99">
                  <c:v>24333.12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716.8000000000001</c:v>
                </c:pt>
                <c:pt idx="1">
                  <c:v>716.8000000000001</c:v>
                </c:pt>
                <c:pt idx="2">
                  <c:v>716.8000000000001</c:v>
                </c:pt>
                <c:pt idx="3">
                  <c:v>716.8000000000001</c:v>
                </c:pt>
                <c:pt idx="4">
                  <c:v>716.8000000000001</c:v>
                </c:pt>
                <c:pt idx="5">
                  <c:v>716.8000000000001</c:v>
                </c:pt>
                <c:pt idx="6">
                  <c:v>716.8000000000001</c:v>
                </c:pt>
                <c:pt idx="7">
                  <c:v>716.8000000000001</c:v>
                </c:pt>
                <c:pt idx="8">
                  <c:v>716.8000000000001</c:v>
                </c:pt>
                <c:pt idx="9">
                  <c:v>716.8000000000001</c:v>
                </c:pt>
                <c:pt idx="10">
                  <c:v>716.8000000000001</c:v>
                </c:pt>
                <c:pt idx="11">
                  <c:v>716.8000000000001</c:v>
                </c:pt>
                <c:pt idx="12">
                  <c:v>716.8000000000001</c:v>
                </c:pt>
                <c:pt idx="13">
                  <c:v>716.8000000000001</c:v>
                </c:pt>
                <c:pt idx="14">
                  <c:v>716.8000000000001</c:v>
                </c:pt>
                <c:pt idx="15">
                  <c:v>716.8000000000001</c:v>
                </c:pt>
                <c:pt idx="16">
                  <c:v>716.8000000000001</c:v>
                </c:pt>
                <c:pt idx="17">
                  <c:v>716.8000000000001</c:v>
                </c:pt>
                <c:pt idx="18">
                  <c:v>716.8000000000001</c:v>
                </c:pt>
                <c:pt idx="19">
                  <c:v>716.8000000000001</c:v>
                </c:pt>
                <c:pt idx="20">
                  <c:v>716.8000000000001</c:v>
                </c:pt>
                <c:pt idx="21">
                  <c:v>716.8000000000001</c:v>
                </c:pt>
                <c:pt idx="22">
                  <c:v>716.8000000000001</c:v>
                </c:pt>
                <c:pt idx="23">
                  <c:v>716.8000000000001</c:v>
                </c:pt>
                <c:pt idx="24">
                  <c:v>716.8000000000001</c:v>
                </c:pt>
                <c:pt idx="25">
                  <c:v>716.8000000000001</c:v>
                </c:pt>
                <c:pt idx="26">
                  <c:v>716.8000000000001</c:v>
                </c:pt>
                <c:pt idx="27">
                  <c:v>716.8000000000001</c:v>
                </c:pt>
                <c:pt idx="28">
                  <c:v>716.8000000000001</c:v>
                </c:pt>
                <c:pt idx="29">
                  <c:v>716.8000000000001</c:v>
                </c:pt>
                <c:pt idx="30">
                  <c:v>716.8000000000001</c:v>
                </c:pt>
                <c:pt idx="31">
                  <c:v>716.8000000000001</c:v>
                </c:pt>
                <c:pt idx="32">
                  <c:v>716.8000000000001</c:v>
                </c:pt>
                <c:pt idx="33">
                  <c:v>716.8000000000001</c:v>
                </c:pt>
                <c:pt idx="34">
                  <c:v>716.8000000000001</c:v>
                </c:pt>
                <c:pt idx="35">
                  <c:v>716.8000000000001</c:v>
                </c:pt>
                <c:pt idx="36">
                  <c:v>716.8000000000001</c:v>
                </c:pt>
                <c:pt idx="37">
                  <c:v>716.8000000000001</c:v>
                </c:pt>
                <c:pt idx="38">
                  <c:v>716.8000000000001</c:v>
                </c:pt>
                <c:pt idx="39">
                  <c:v>716.8000000000001</c:v>
                </c:pt>
                <c:pt idx="40">
                  <c:v>716.8000000000001</c:v>
                </c:pt>
                <c:pt idx="41">
                  <c:v>716.8000000000001</c:v>
                </c:pt>
                <c:pt idx="42">
                  <c:v>716.8000000000001</c:v>
                </c:pt>
                <c:pt idx="43">
                  <c:v>716.8000000000001</c:v>
                </c:pt>
                <c:pt idx="44">
                  <c:v>716.8000000000001</c:v>
                </c:pt>
                <c:pt idx="45">
                  <c:v>716.8000000000001</c:v>
                </c:pt>
                <c:pt idx="46">
                  <c:v>716.8000000000001</c:v>
                </c:pt>
                <c:pt idx="47">
                  <c:v>716.8000000000001</c:v>
                </c:pt>
                <c:pt idx="48">
                  <c:v>716.8000000000001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6731.200000000001</c:v>
                </c:pt>
                <c:pt idx="1">
                  <c:v>6731.200000000001</c:v>
                </c:pt>
                <c:pt idx="2">
                  <c:v>6731.200000000001</c:v>
                </c:pt>
                <c:pt idx="3">
                  <c:v>6731.200000000001</c:v>
                </c:pt>
                <c:pt idx="4">
                  <c:v>6731.200000000001</c:v>
                </c:pt>
                <c:pt idx="5">
                  <c:v>6731.200000000001</c:v>
                </c:pt>
                <c:pt idx="6">
                  <c:v>6731.200000000001</c:v>
                </c:pt>
                <c:pt idx="7">
                  <c:v>6731.200000000001</c:v>
                </c:pt>
                <c:pt idx="8">
                  <c:v>6731.200000000001</c:v>
                </c:pt>
                <c:pt idx="9">
                  <c:v>6731.200000000001</c:v>
                </c:pt>
                <c:pt idx="10">
                  <c:v>6731.200000000001</c:v>
                </c:pt>
                <c:pt idx="11">
                  <c:v>6731.200000000001</c:v>
                </c:pt>
                <c:pt idx="12">
                  <c:v>6731.200000000001</c:v>
                </c:pt>
                <c:pt idx="13">
                  <c:v>6731.200000000001</c:v>
                </c:pt>
                <c:pt idx="14">
                  <c:v>6731.200000000001</c:v>
                </c:pt>
                <c:pt idx="15">
                  <c:v>6731.200000000001</c:v>
                </c:pt>
                <c:pt idx="16">
                  <c:v>6731.200000000001</c:v>
                </c:pt>
                <c:pt idx="17">
                  <c:v>6731.200000000001</c:v>
                </c:pt>
                <c:pt idx="18">
                  <c:v>6731.200000000001</c:v>
                </c:pt>
                <c:pt idx="19">
                  <c:v>6731.200000000001</c:v>
                </c:pt>
                <c:pt idx="20">
                  <c:v>6731.200000000001</c:v>
                </c:pt>
                <c:pt idx="21">
                  <c:v>6731.200000000001</c:v>
                </c:pt>
                <c:pt idx="22">
                  <c:v>6731.200000000001</c:v>
                </c:pt>
                <c:pt idx="23">
                  <c:v>6731.200000000001</c:v>
                </c:pt>
                <c:pt idx="24">
                  <c:v>6731.200000000001</c:v>
                </c:pt>
                <c:pt idx="25">
                  <c:v>6731.200000000001</c:v>
                </c:pt>
                <c:pt idx="26">
                  <c:v>6731.200000000001</c:v>
                </c:pt>
                <c:pt idx="27">
                  <c:v>6731.200000000001</c:v>
                </c:pt>
                <c:pt idx="28">
                  <c:v>6731.200000000001</c:v>
                </c:pt>
                <c:pt idx="29">
                  <c:v>6731.200000000001</c:v>
                </c:pt>
                <c:pt idx="30">
                  <c:v>6731.200000000001</c:v>
                </c:pt>
                <c:pt idx="31">
                  <c:v>6731.200000000001</c:v>
                </c:pt>
                <c:pt idx="32">
                  <c:v>6731.200000000001</c:v>
                </c:pt>
                <c:pt idx="33">
                  <c:v>6731.200000000001</c:v>
                </c:pt>
                <c:pt idx="34">
                  <c:v>6731.200000000001</c:v>
                </c:pt>
                <c:pt idx="35">
                  <c:v>6731.200000000001</c:v>
                </c:pt>
                <c:pt idx="36">
                  <c:v>6731.200000000001</c:v>
                </c:pt>
                <c:pt idx="37">
                  <c:v>6731.200000000001</c:v>
                </c:pt>
                <c:pt idx="38">
                  <c:v>6731.200000000001</c:v>
                </c:pt>
                <c:pt idx="39">
                  <c:v>6731.200000000001</c:v>
                </c:pt>
                <c:pt idx="40">
                  <c:v>6731.200000000001</c:v>
                </c:pt>
                <c:pt idx="41">
                  <c:v>6731.200000000001</c:v>
                </c:pt>
                <c:pt idx="42">
                  <c:v>6731.200000000001</c:v>
                </c:pt>
                <c:pt idx="43">
                  <c:v>6731.200000000001</c:v>
                </c:pt>
                <c:pt idx="44">
                  <c:v>6731.200000000001</c:v>
                </c:pt>
                <c:pt idx="45">
                  <c:v>6731.200000000001</c:v>
                </c:pt>
                <c:pt idx="46">
                  <c:v>6731.200000000001</c:v>
                </c:pt>
                <c:pt idx="47">
                  <c:v>6731.200000000001</c:v>
                </c:pt>
                <c:pt idx="48">
                  <c:v>6731.200000000001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274176.0000000001</c:v>
                </c:pt>
                <c:pt idx="50">
                  <c:v>274176.0000000001</c:v>
                </c:pt>
                <c:pt idx="51">
                  <c:v>274176.0000000001</c:v>
                </c:pt>
                <c:pt idx="52">
                  <c:v>274176.0000000001</c:v>
                </c:pt>
                <c:pt idx="53">
                  <c:v>274176.0000000001</c:v>
                </c:pt>
                <c:pt idx="54">
                  <c:v>274176.0000000001</c:v>
                </c:pt>
                <c:pt idx="55">
                  <c:v>274176.0000000001</c:v>
                </c:pt>
                <c:pt idx="56">
                  <c:v>274176.0000000001</c:v>
                </c:pt>
                <c:pt idx="57">
                  <c:v>274176.0000000001</c:v>
                </c:pt>
                <c:pt idx="58">
                  <c:v>274176.0000000001</c:v>
                </c:pt>
                <c:pt idx="59">
                  <c:v>274176.0000000001</c:v>
                </c:pt>
                <c:pt idx="60">
                  <c:v>274176.0000000001</c:v>
                </c:pt>
                <c:pt idx="61">
                  <c:v>274176.0000000001</c:v>
                </c:pt>
                <c:pt idx="62">
                  <c:v>274176.0000000001</c:v>
                </c:pt>
                <c:pt idx="63">
                  <c:v>274176.0000000001</c:v>
                </c:pt>
                <c:pt idx="64">
                  <c:v>274176.0000000001</c:v>
                </c:pt>
                <c:pt idx="65">
                  <c:v>274176.0000000001</c:v>
                </c:pt>
                <c:pt idx="66">
                  <c:v>274176.0000000001</c:v>
                </c:pt>
                <c:pt idx="67">
                  <c:v>274176.0000000001</c:v>
                </c:pt>
                <c:pt idx="68">
                  <c:v>274176.0000000001</c:v>
                </c:pt>
                <c:pt idx="69">
                  <c:v>274176.0000000001</c:v>
                </c:pt>
                <c:pt idx="70">
                  <c:v>274176.0000000001</c:v>
                </c:pt>
                <c:pt idx="71">
                  <c:v>274176.0000000001</c:v>
                </c:pt>
                <c:pt idx="72">
                  <c:v>274176.0000000001</c:v>
                </c:pt>
                <c:pt idx="73">
                  <c:v>274176.0000000001</c:v>
                </c:pt>
                <c:pt idx="74">
                  <c:v>274176.0000000001</c:v>
                </c:pt>
                <c:pt idx="75">
                  <c:v>274176.0000000001</c:v>
                </c:pt>
                <c:pt idx="76">
                  <c:v>274176.0000000001</c:v>
                </c:pt>
                <c:pt idx="77">
                  <c:v>274176.0000000001</c:v>
                </c:pt>
                <c:pt idx="78">
                  <c:v>274176.0000000001</c:v>
                </c:pt>
                <c:pt idx="79">
                  <c:v>274176.0000000001</c:v>
                </c:pt>
                <c:pt idx="80">
                  <c:v>274176.0000000001</c:v>
                </c:pt>
                <c:pt idx="81">
                  <c:v>274176.0000000001</c:v>
                </c:pt>
                <c:pt idx="82">
                  <c:v>274176.0000000001</c:v>
                </c:pt>
                <c:pt idx="83">
                  <c:v>274176.0000000001</c:v>
                </c:pt>
                <c:pt idx="84">
                  <c:v>274176.0000000001</c:v>
                </c:pt>
                <c:pt idx="85">
                  <c:v>274176.0000000001</c:v>
                </c:pt>
                <c:pt idx="86">
                  <c:v>274176.0000000001</c:v>
                </c:pt>
                <c:pt idx="87">
                  <c:v>274176.0000000001</c:v>
                </c:pt>
                <c:pt idx="88">
                  <c:v>274176.0000000001</c:v>
                </c:pt>
                <c:pt idx="89">
                  <c:v>274176.0000000001</c:v>
                </c:pt>
                <c:pt idx="90">
                  <c:v>274176.0000000001</c:v>
                </c:pt>
                <c:pt idx="91">
                  <c:v>274176.0000000001</c:v>
                </c:pt>
                <c:pt idx="92">
                  <c:v>274176.0000000001</c:v>
                </c:pt>
                <c:pt idx="93">
                  <c:v>274176.0000000001</c:v>
                </c:pt>
                <c:pt idx="94">
                  <c:v>274176.0000000001</c:v>
                </c:pt>
                <c:pt idx="95">
                  <c:v>274176.0000000001</c:v>
                </c:pt>
                <c:pt idx="96">
                  <c:v>274176.0000000001</c:v>
                </c:pt>
                <c:pt idx="97">
                  <c:v>274176.0000000001</c:v>
                </c:pt>
                <c:pt idx="98">
                  <c:v>274176.0000000001</c:v>
                </c:pt>
                <c:pt idx="99">
                  <c:v>274176.0000000001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4032.0</c:v>
                </c:pt>
                <c:pt idx="1">
                  <c:v>4032.0</c:v>
                </c:pt>
                <c:pt idx="2">
                  <c:v>4032.0</c:v>
                </c:pt>
                <c:pt idx="3">
                  <c:v>4032.0</c:v>
                </c:pt>
                <c:pt idx="4">
                  <c:v>4032.0</c:v>
                </c:pt>
                <c:pt idx="5">
                  <c:v>4032.0</c:v>
                </c:pt>
                <c:pt idx="6">
                  <c:v>4032.0</c:v>
                </c:pt>
                <c:pt idx="7">
                  <c:v>4032.0</c:v>
                </c:pt>
                <c:pt idx="8">
                  <c:v>4032.0</c:v>
                </c:pt>
                <c:pt idx="9">
                  <c:v>4032.0</c:v>
                </c:pt>
                <c:pt idx="10">
                  <c:v>4032.0</c:v>
                </c:pt>
                <c:pt idx="11">
                  <c:v>4032.0</c:v>
                </c:pt>
                <c:pt idx="12">
                  <c:v>4032.0</c:v>
                </c:pt>
                <c:pt idx="13">
                  <c:v>4032.0</c:v>
                </c:pt>
                <c:pt idx="14">
                  <c:v>4032.0</c:v>
                </c:pt>
                <c:pt idx="15">
                  <c:v>4032.0</c:v>
                </c:pt>
                <c:pt idx="16">
                  <c:v>4032.0</c:v>
                </c:pt>
                <c:pt idx="17">
                  <c:v>4032.0</c:v>
                </c:pt>
                <c:pt idx="18">
                  <c:v>4032.0</c:v>
                </c:pt>
                <c:pt idx="19">
                  <c:v>4032.0</c:v>
                </c:pt>
                <c:pt idx="20">
                  <c:v>4032.0</c:v>
                </c:pt>
                <c:pt idx="21">
                  <c:v>4032.0</c:v>
                </c:pt>
                <c:pt idx="22">
                  <c:v>4032.0</c:v>
                </c:pt>
                <c:pt idx="23">
                  <c:v>4032.0</c:v>
                </c:pt>
                <c:pt idx="24">
                  <c:v>4032.0</c:v>
                </c:pt>
                <c:pt idx="25">
                  <c:v>4032.0</c:v>
                </c:pt>
                <c:pt idx="26">
                  <c:v>4032.0</c:v>
                </c:pt>
                <c:pt idx="27">
                  <c:v>4032.0</c:v>
                </c:pt>
                <c:pt idx="28">
                  <c:v>4032.0</c:v>
                </c:pt>
                <c:pt idx="29">
                  <c:v>4032.0</c:v>
                </c:pt>
                <c:pt idx="30">
                  <c:v>4032.0</c:v>
                </c:pt>
                <c:pt idx="31">
                  <c:v>4032.0</c:v>
                </c:pt>
                <c:pt idx="32">
                  <c:v>4032.0</c:v>
                </c:pt>
                <c:pt idx="33">
                  <c:v>4032.0</c:v>
                </c:pt>
                <c:pt idx="34">
                  <c:v>4032.0</c:v>
                </c:pt>
                <c:pt idx="35">
                  <c:v>4032.0</c:v>
                </c:pt>
                <c:pt idx="36">
                  <c:v>4032.0</c:v>
                </c:pt>
                <c:pt idx="37">
                  <c:v>4032.0</c:v>
                </c:pt>
                <c:pt idx="38">
                  <c:v>4032.0</c:v>
                </c:pt>
                <c:pt idx="39">
                  <c:v>4032.0</c:v>
                </c:pt>
                <c:pt idx="40">
                  <c:v>4032.0</c:v>
                </c:pt>
                <c:pt idx="41">
                  <c:v>4032.0</c:v>
                </c:pt>
                <c:pt idx="42">
                  <c:v>4032.0</c:v>
                </c:pt>
                <c:pt idx="43">
                  <c:v>4032.0</c:v>
                </c:pt>
                <c:pt idx="44">
                  <c:v>4032.0</c:v>
                </c:pt>
                <c:pt idx="45">
                  <c:v>4032.0</c:v>
                </c:pt>
                <c:pt idx="46">
                  <c:v>4032.0</c:v>
                </c:pt>
                <c:pt idx="47">
                  <c:v>4032.0</c:v>
                </c:pt>
                <c:pt idx="48">
                  <c:v>4032.0</c:v>
                </c:pt>
                <c:pt idx="49">
                  <c:v>8064.000000000003</c:v>
                </c:pt>
                <c:pt idx="50">
                  <c:v>8064.000000000003</c:v>
                </c:pt>
                <c:pt idx="51">
                  <c:v>8064.000000000003</c:v>
                </c:pt>
                <c:pt idx="52">
                  <c:v>8064.000000000003</c:v>
                </c:pt>
                <c:pt idx="53">
                  <c:v>8064.000000000003</c:v>
                </c:pt>
                <c:pt idx="54">
                  <c:v>8064.000000000003</c:v>
                </c:pt>
                <c:pt idx="55">
                  <c:v>8064.000000000003</c:v>
                </c:pt>
                <c:pt idx="56">
                  <c:v>8064.000000000003</c:v>
                </c:pt>
                <c:pt idx="57">
                  <c:v>8064.000000000003</c:v>
                </c:pt>
                <c:pt idx="58">
                  <c:v>8064.000000000003</c:v>
                </c:pt>
                <c:pt idx="59">
                  <c:v>8064.000000000003</c:v>
                </c:pt>
                <c:pt idx="60">
                  <c:v>8064.000000000003</c:v>
                </c:pt>
                <c:pt idx="61">
                  <c:v>8064.000000000003</c:v>
                </c:pt>
                <c:pt idx="62">
                  <c:v>8064.000000000003</c:v>
                </c:pt>
                <c:pt idx="63">
                  <c:v>8064.000000000003</c:v>
                </c:pt>
                <c:pt idx="64">
                  <c:v>8064.000000000003</c:v>
                </c:pt>
                <c:pt idx="65">
                  <c:v>8064.000000000003</c:v>
                </c:pt>
                <c:pt idx="66">
                  <c:v>8064.000000000003</c:v>
                </c:pt>
                <c:pt idx="67">
                  <c:v>8064.000000000003</c:v>
                </c:pt>
                <c:pt idx="68">
                  <c:v>8064.000000000003</c:v>
                </c:pt>
                <c:pt idx="69">
                  <c:v>8064.000000000003</c:v>
                </c:pt>
                <c:pt idx="70">
                  <c:v>8064.000000000003</c:v>
                </c:pt>
                <c:pt idx="71">
                  <c:v>8064.000000000003</c:v>
                </c:pt>
                <c:pt idx="72">
                  <c:v>8064.000000000003</c:v>
                </c:pt>
                <c:pt idx="73">
                  <c:v>8064.000000000003</c:v>
                </c:pt>
                <c:pt idx="74">
                  <c:v>8064.000000000003</c:v>
                </c:pt>
                <c:pt idx="75">
                  <c:v>8064.000000000003</c:v>
                </c:pt>
                <c:pt idx="76">
                  <c:v>8064.000000000003</c:v>
                </c:pt>
                <c:pt idx="77">
                  <c:v>8064.000000000003</c:v>
                </c:pt>
                <c:pt idx="78">
                  <c:v>8064.000000000003</c:v>
                </c:pt>
                <c:pt idx="79">
                  <c:v>8064.000000000003</c:v>
                </c:pt>
                <c:pt idx="80">
                  <c:v>8064.000000000003</c:v>
                </c:pt>
                <c:pt idx="81">
                  <c:v>8064.000000000003</c:v>
                </c:pt>
                <c:pt idx="82">
                  <c:v>8064.000000000003</c:v>
                </c:pt>
                <c:pt idx="83">
                  <c:v>8064.000000000003</c:v>
                </c:pt>
                <c:pt idx="84">
                  <c:v>8064.000000000003</c:v>
                </c:pt>
                <c:pt idx="85">
                  <c:v>8064.000000000003</c:v>
                </c:pt>
                <c:pt idx="86">
                  <c:v>8064.000000000003</c:v>
                </c:pt>
                <c:pt idx="87">
                  <c:v>8064.000000000003</c:v>
                </c:pt>
                <c:pt idx="88">
                  <c:v>8064.000000000003</c:v>
                </c:pt>
                <c:pt idx="89">
                  <c:v>8064.000000000003</c:v>
                </c:pt>
                <c:pt idx="90">
                  <c:v>8064.000000000003</c:v>
                </c:pt>
                <c:pt idx="91">
                  <c:v>8064.000000000003</c:v>
                </c:pt>
                <c:pt idx="92">
                  <c:v>8064.000000000003</c:v>
                </c:pt>
                <c:pt idx="93">
                  <c:v>8064.000000000003</c:v>
                </c:pt>
                <c:pt idx="94">
                  <c:v>8064.000000000003</c:v>
                </c:pt>
                <c:pt idx="95">
                  <c:v>8064.000000000003</c:v>
                </c:pt>
                <c:pt idx="96">
                  <c:v>8064.000000000003</c:v>
                </c:pt>
                <c:pt idx="97">
                  <c:v>8064.000000000003</c:v>
                </c:pt>
                <c:pt idx="98">
                  <c:v>8064.000000000003</c:v>
                </c:pt>
                <c:pt idx="99">
                  <c:v>8064.000000000003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19353.6</c:v>
                </c:pt>
                <c:pt idx="50">
                  <c:v>19353.6</c:v>
                </c:pt>
                <c:pt idx="51">
                  <c:v>19353.6</c:v>
                </c:pt>
                <c:pt idx="52">
                  <c:v>19353.6</c:v>
                </c:pt>
                <c:pt idx="53">
                  <c:v>19353.6</c:v>
                </c:pt>
                <c:pt idx="54">
                  <c:v>19353.6</c:v>
                </c:pt>
                <c:pt idx="55">
                  <c:v>19353.6</c:v>
                </c:pt>
                <c:pt idx="56">
                  <c:v>19353.6</c:v>
                </c:pt>
                <c:pt idx="57">
                  <c:v>19353.6</c:v>
                </c:pt>
                <c:pt idx="58">
                  <c:v>19353.6</c:v>
                </c:pt>
                <c:pt idx="59">
                  <c:v>19353.6</c:v>
                </c:pt>
                <c:pt idx="60">
                  <c:v>19353.6</c:v>
                </c:pt>
                <c:pt idx="61">
                  <c:v>19353.6</c:v>
                </c:pt>
                <c:pt idx="62">
                  <c:v>19353.6</c:v>
                </c:pt>
                <c:pt idx="63">
                  <c:v>19353.6</c:v>
                </c:pt>
                <c:pt idx="64">
                  <c:v>19353.6</c:v>
                </c:pt>
                <c:pt idx="65">
                  <c:v>19353.6</c:v>
                </c:pt>
                <c:pt idx="66">
                  <c:v>19353.6</c:v>
                </c:pt>
                <c:pt idx="67">
                  <c:v>19353.6</c:v>
                </c:pt>
                <c:pt idx="68">
                  <c:v>19353.6</c:v>
                </c:pt>
                <c:pt idx="69">
                  <c:v>19353.6</c:v>
                </c:pt>
                <c:pt idx="70">
                  <c:v>19353.6</c:v>
                </c:pt>
                <c:pt idx="71">
                  <c:v>19353.6</c:v>
                </c:pt>
                <c:pt idx="72">
                  <c:v>19353.6</c:v>
                </c:pt>
                <c:pt idx="73">
                  <c:v>19353.6</c:v>
                </c:pt>
                <c:pt idx="74">
                  <c:v>19353.6</c:v>
                </c:pt>
                <c:pt idx="75">
                  <c:v>19353.6</c:v>
                </c:pt>
                <c:pt idx="76">
                  <c:v>19353.6</c:v>
                </c:pt>
                <c:pt idx="77">
                  <c:v>19353.6</c:v>
                </c:pt>
                <c:pt idx="78">
                  <c:v>19353.6</c:v>
                </c:pt>
                <c:pt idx="79">
                  <c:v>19353.6</c:v>
                </c:pt>
                <c:pt idx="80">
                  <c:v>19353.6</c:v>
                </c:pt>
                <c:pt idx="81">
                  <c:v>19353.6</c:v>
                </c:pt>
                <c:pt idx="82">
                  <c:v>19353.6</c:v>
                </c:pt>
                <c:pt idx="83">
                  <c:v>19353.6</c:v>
                </c:pt>
                <c:pt idx="84">
                  <c:v>19353.6</c:v>
                </c:pt>
                <c:pt idx="85">
                  <c:v>19353.6</c:v>
                </c:pt>
                <c:pt idx="86">
                  <c:v>19353.6</c:v>
                </c:pt>
                <c:pt idx="87">
                  <c:v>19353.6</c:v>
                </c:pt>
                <c:pt idx="88">
                  <c:v>19353.6</c:v>
                </c:pt>
                <c:pt idx="89">
                  <c:v>19353.6</c:v>
                </c:pt>
                <c:pt idx="90">
                  <c:v>19353.6</c:v>
                </c:pt>
                <c:pt idx="91">
                  <c:v>19353.6</c:v>
                </c:pt>
                <c:pt idx="92">
                  <c:v>19353.6</c:v>
                </c:pt>
                <c:pt idx="93">
                  <c:v>19353.6</c:v>
                </c:pt>
                <c:pt idx="94">
                  <c:v>19353.6</c:v>
                </c:pt>
                <c:pt idx="95">
                  <c:v>19353.6</c:v>
                </c:pt>
                <c:pt idx="96">
                  <c:v>19353.6</c:v>
                </c:pt>
                <c:pt idx="97">
                  <c:v>19353.6</c:v>
                </c:pt>
                <c:pt idx="98">
                  <c:v>19353.6</c:v>
                </c:pt>
                <c:pt idx="99">
                  <c:v>19353.6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666.2612884376946</c:v>
                </c:pt>
                <c:pt idx="1">
                  <c:v>666.2612884376946</c:v>
                </c:pt>
                <c:pt idx="2">
                  <c:v>666.2612884376946</c:v>
                </c:pt>
                <c:pt idx="3">
                  <c:v>666.2612884376946</c:v>
                </c:pt>
                <c:pt idx="4">
                  <c:v>666.2612884376946</c:v>
                </c:pt>
                <c:pt idx="5">
                  <c:v>666.2612884376946</c:v>
                </c:pt>
                <c:pt idx="6">
                  <c:v>666.2612884376946</c:v>
                </c:pt>
                <c:pt idx="7">
                  <c:v>666.2612884376946</c:v>
                </c:pt>
                <c:pt idx="8">
                  <c:v>666.2612884376946</c:v>
                </c:pt>
                <c:pt idx="9">
                  <c:v>666.2612884376946</c:v>
                </c:pt>
                <c:pt idx="10">
                  <c:v>666.2612884376946</c:v>
                </c:pt>
                <c:pt idx="11">
                  <c:v>666.2612884376946</c:v>
                </c:pt>
                <c:pt idx="12">
                  <c:v>666.2612884376946</c:v>
                </c:pt>
                <c:pt idx="13">
                  <c:v>666.2612884376946</c:v>
                </c:pt>
                <c:pt idx="14">
                  <c:v>666.2612884376946</c:v>
                </c:pt>
                <c:pt idx="15">
                  <c:v>666.2612884376946</c:v>
                </c:pt>
                <c:pt idx="16">
                  <c:v>666.2612884376946</c:v>
                </c:pt>
                <c:pt idx="17">
                  <c:v>666.2612884376946</c:v>
                </c:pt>
                <c:pt idx="18">
                  <c:v>666.2612884376946</c:v>
                </c:pt>
                <c:pt idx="19">
                  <c:v>666.2612884376946</c:v>
                </c:pt>
                <c:pt idx="20">
                  <c:v>666.2612884376946</c:v>
                </c:pt>
                <c:pt idx="21">
                  <c:v>666.2612884376946</c:v>
                </c:pt>
                <c:pt idx="22">
                  <c:v>666.2612884376946</c:v>
                </c:pt>
                <c:pt idx="23">
                  <c:v>666.2612884376946</c:v>
                </c:pt>
                <c:pt idx="24">
                  <c:v>666.2612884376946</c:v>
                </c:pt>
                <c:pt idx="25">
                  <c:v>666.2612884376946</c:v>
                </c:pt>
                <c:pt idx="26">
                  <c:v>666.2612884376946</c:v>
                </c:pt>
                <c:pt idx="27">
                  <c:v>666.2612884376946</c:v>
                </c:pt>
                <c:pt idx="28">
                  <c:v>666.2612884376946</c:v>
                </c:pt>
                <c:pt idx="29">
                  <c:v>666.2612884376946</c:v>
                </c:pt>
                <c:pt idx="30">
                  <c:v>666.2612884376946</c:v>
                </c:pt>
                <c:pt idx="31">
                  <c:v>666.2612884376946</c:v>
                </c:pt>
                <c:pt idx="32">
                  <c:v>666.2612884376946</c:v>
                </c:pt>
                <c:pt idx="33">
                  <c:v>666.2612884376946</c:v>
                </c:pt>
                <c:pt idx="34">
                  <c:v>666.2612884376946</c:v>
                </c:pt>
                <c:pt idx="35">
                  <c:v>666.2612884376946</c:v>
                </c:pt>
                <c:pt idx="36">
                  <c:v>666.2612884376946</c:v>
                </c:pt>
                <c:pt idx="37">
                  <c:v>666.2612884376946</c:v>
                </c:pt>
                <c:pt idx="38">
                  <c:v>666.2612884376946</c:v>
                </c:pt>
                <c:pt idx="39">
                  <c:v>666.2612884376946</c:v>
                </c:pt>
                <c:pt idx="40">
                  <c:v>666.2612884376946</c:v>
                </c:pt>
                <c:pt idx="41">
                  <c:v>666.2612884376946</c:v>
                </c:pt>
                <c:pt idx="42">
                  <c:v>666.2612884376946</c:v>
                </c:pt>
                <c:pt idx="43">
                  <c:v>666.2612884376946</c:v>
                </c:pt>
                <c:pt idx="44">
                  <c:v>666.2612884376946</c:v>
                </c:pt>
                <c:pt idx="45">
                  <c:v>666.2612884376946</c:v>
                </c:pt>
                <c:pt idx="46">
                  <c:v>666.2612884376946</c:v>
                </c:pt>
                <c:pt idx="47">
                  <c:v>666.2612884376946</c:v>
                </c:pt>
                <c:pt idx="48">
                  <c:v>666.2612884376946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22378.61731098187</c:v>
                </c:pt>
                <c:pt idx="1">
                  <c:v>22378.61731098187</c:v>
                </c:pt>
                <c:pt idx="2">
                  <c:v>22378.61731098187</c:v>
                </c:pt>
                <c:pt idx="3">
                  <c:v>22378.61731098187</c:v>
                </c:pt>
                <c:pt idx="4">
                  <c:v>22378.61731098187</c:v>
                </c:pt>
                <c:pt idx="5">
                  <c:v>22378.61731098187</c:v>
                </c:pt>
                <c:pt idx="6">
                  <c:v>22378.61731098187</c:v>
                </c:pt>
                <c:pt idx="7">
                  <c:v>22378.61731098187</c:v>
                </c:pt>
                <c:pt idx="8">
                  <c:v>22378.61731098187</c:v>
                </c:pt>
                <c:pt idx="9">
                  <c:v>22378.61731098187</c:v>
                </c:pt>
                <c:pt idx="10">
                  <c:v>22378.61731098187</c:v>
                </c:pt>
                <c:pt idx="11">
                  <c:v>22378.61731098187</c:v>
                </c:pt>
                <c:pt idx="12">
                  <c:v>22378.61731098187</c:v>
                </c:pt>
                <c:pt idx="13">
                  <c:v>22378.61731098187</c:v>
                </c:pt>
                <c:pt idx="14">
                  <c:v>22378.61731098187</c:v>
                </c:pt>
                <c:pt idx="15">
                  <c:v>22378.61731098187</c:v>
                </c:pt>
                <c:pt idx="16">
                  <c:v>22378.61731098187</c:v>
                </c:pt>
                <c:pt idx="17">
                  <c:v>22378.61731098187</c:v>
                </c:pt>
                <c:pt idx="18">
                  <c:v>22378.61731098187</c:v>
                </c:pt>
                <c:pt idx="19">
                  <c:v>22378.61731098187</c:v>
                </c:pt>
                <c:pt idx="20">
                  <c:v>22378.61731098187</c:v>
                </c:pt>
                <c:pt idx="21">
                  <c:v>22378.61731098187</c:v>
                </c:pt>
                <c:pt idx="22">
                  <c:v>22378.61731098187</c:v>
                </c:pt>
                <c:pt idx="23">
                  <c:v>22378.61731098187</c:v>
                </c:pt>
                <c:pt idx="24">
                  <c:v>22378.61731098187</c:v>
                </c:pt>
                <c:pt idx="25">
                  <c:v>22378.61731098187</c:v>
                </c:pt>
                <c:pt idx="26">
                  <c:v>22378.61731098187</c:v>
                </c:pt>
                <c:pt idx="27">
                  <c:v>22378.61731098187</c:v>
                </c:pt>
                <c:pt idx="28">
                  <c:v>22378.61731098187</c:v>
                </c:pt>
                <c:pt idx="29">
                  <c:v>22378.61731098187</c:v>
                </c:pt>
                <c:pt idx="30">
                  <c:v>22378.61731098187</c:v>
                </c:pt>
                <c:pt idx="31">
                  <c:v>22378.61731098187</c:v>
                </c:pt>
                <c:pt idx="32">
                  <c:v>22378.61731098187</c:v>
                </c:pt>
                <c:pt idx="33">
                  <c:v>22378.61731098187</c:v>
                </c:pt>
                <c:pt idx="34">
                  <c:v>22378.61731098187</c:v>
                </c:pt>
                <c:pt idx="35">
                  <c:v>22378.61731098187</c:v>
                </c:pt>
                <c:pt idx="36">
                  <c:v>22378.61731098187</c:v>
                </c:pt>
                <c:pt idx="37">
                  <c:v>22378.61731098187</c:v>
                </c:pt>
                <c:pt idx="38">
                  <c:v>22378.61731098187</c:v>
                </c:pt>
                <c:pt idx="39">
                  <c:v>22378.61731098187</c:v>
                </c:pt>
                <c:pt idx="40">
                  <c:v>22378.61731098187</c:v>
                </c:pt>
                <c:pt idx="41">
                  <c:v>22378.61731098187</c:v>
                </c:pt>
                <c:pt idx="42">
                  <c:v>22378.61731098187</c:v>
                </c:pt>
                <c:pt idx="43">
                  <c:v>22378.61731098187</c:v>
                </c:pt>
                <c:pt idx="44">
                  <c:v>22378.61731098187</c:v>
                </c:pt>
                <c:pt idx="45">
                  <c:v>22378.61731098187</c:v>
                </c:pt>
                <c:pt idx="46">
                  <c:v>22378.61731098187</c:v>
                </c:pt>
                <c:pt idx="47">
                  <c:v>22378.61731098187</c:v>
                </c:pt>
                <c:pt idx="48">
                  <c:v>22378.61731098187</c:v>
                </c:pt>
                <c:pt idx="49">
                  <c:v>10858.07392405063</c:v>
                </c:pt>
                <c:pt idx="50">
                  <c:v>10858.07392405063</c:v>
                </c:pt>
                <c:pt idx="51">
                  <c:v>10858.07392405063</c:v>
                </c:pt>
                <c:pt idx="52">
                  <c:v>10858.07392405063</c:v>
                </c:pt>
                <c:pt idx="53">
                  <c:v>10858.07392405063</c:v>
                </c:pt>
                <c:pt idx="54">
                  <c:v>10858.07392405063</c:v>
                </c:pt>
                <c:pt idx="55">
                  <c:v>10858.07392405063</c:v>
                </c:pt>
                <c:pt idx="56">
                  <c:v>10858.07392405063</c:v>
                </c:pt>
                <c:pt idx="57">
                  <c:v>10858.07392405063</c:v>
                </c:pt>
                <c:pt idx="58">
                  <c:v>10858.07392405063</c:v>
                </c:pt>
                <c:pt idx="59">
                  <c:v>10858.07392405063</c:v>
                </c:pt>
                <c:pt idx="60">
                  <c:v>10858.07392405063</c:v>
                </c:pt>
                <c:pt idx="61">
                  <c:v>10858.07392405063</c:v>
                </c:pt>
                <c:pt idx="62">
                  <c:v>10858.07392405063</c:v>
                </c:pt>
                <c:pt idx="63">
                  <c:v>10858.07392405063</c:v>
                </c:pt>
                <c:pt idx="64">
                  <c:v>10858.07392405063</c:v>
                </c:pt>
                <c:pt idx="65">
                  <c:v>10858.07392405063</c:v>
                </c:pt>
                <c:pt idx="66">
                  <c:v>10858.07392405063</c:v>
                </c:pt>
                <c:pt idx="67">
                  <c:v>10858.07392405063</c:v>
                </c:pt>
                <c:pt idx="68">
                  <c:v>10858.07392405063</c:v>
                </c:pt>
                <c:pt idx="69">
                  <c:v>10858.07392405063</c:v>
                </c:pt>
                <c:pt idx="70">
                  <c:v>10858.07392405063</c:v>
                </c:pt>
                <c:pt idx="71">
                  <c:v>10858.07392405063</c:v>
                </c:pt>
                <c:pt idx="72">
                  <c:v>10858.07392405063</c:v>
                </c:pt>
                <c:pt idx="73">
                  <c:v>10858.07392405063</c:v>
                </c:pt>
                <c:pt idx="74">
                  <c:v>10858.07392405063</c:v>
                </c:pt>
                <c:pt idx="75">
                  <c:v>10858.07392405063</c:v>
                </c:pt>
                <c:pt idx="76">
                  <c:v>10858.07392405063</c:v>
                </c:pt>
                <c:pt idx="77">
                  <c:v>10858.07392405063</c:v>
                </c:pt>
                <c:pt idx="78">
                  <c:v>10858.07392405063</c:v>
                </c:pt>
                <c:pt idx="79">
                  <c:v>10858.07392405063</c:v>
                </c:pt>
                <c:pt idx="80">
                  <c:v>10858.07392405063</c:v>
                </c:pt>
                <c:pt idx="81">
                  <c:v>10858.07392405063</c:v>
                </c:pt>
                <c:pt idx="82">
                  <c:v>10858.07392405063</c:v>
                </c:pt>
                <c:pt idx="83">
                  <c:v>10858.07392405063</c:v>
                </c:pt>
                <c:pt idx="84">
                  <c:v>10858.07392405063</c:v>
                </c:pt>
                <c:pt idx="85">
                  <c:v>10858.07392405063</c:v>
                </c:pt>
                <c:pt idx="86">
                  <c:v>10858.07392405063</c:v>
                </c:pt>
                <c:pt idx="87">
                  <c:v>10858.07392405063</c:v>
                </c:pt>
                <c:pt idx="88">
                  <c:v>10858.07392405063</c:v>
                </c:pt>
                <c:pt idx="89">
                  <c:v>10858.07392405063</c:v>
                </c:pt>
                <c:pt idx="90">
                  <c:v>10858.07392405063</c:v>
                </c:pt>
                <c:pt idx="91">
                  <c:v>10858.07392405063</c:v>
                </c:pt>
                <c:pt idx="92">
                  <c:v>10858.07392405063</c:v>
                </c:pt>
                <c:pt idx="93">
                  <c:v>10858.07392405063</c:v>
                </c:pt>
                <c:pt idx="94">
                  <c:v>10858.07392405063</c:v>
                </c:pt>
                <c:pt idx="95">
                  <c:v>10858.07392405063</c:v>
                </c:pt>
                <c:pt idx="96">
                  <c:v>10858.07392405063</c:v>
                </c:pt>
                <c:pt idx="97">
                  <c:v>10858.07392405063</c:v>
                </c:pt>
                <c:pt idx="98">
                  <c:v>10858.07392405063</c:v>
                </c:pt>
                <c:pt idx="99">
                  <c:v>10858.07392405063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2688.0</c:v>
                </c:pt>
                <c:pt idx="1">
                  <c:v>2688.0</c:v>
                </c:pt>
                <c:pt idx="2">
                  <c:v>2688.0</c:v>
                </c:pt>
                <c:pt idx="3">
                  <c:v>2688.0</c:v>
                </c:pt>
                <c:pt idx="4">
                  <c:v>2688.0</c:v>
                </c:pt>
                <c:pt idx="5">
                  <c:v>2688.0</c:v>
                </c:pt>
                <c:pt idx="6">
                  <c:v>2688.0</c:v>
                </c:pt>
                <c:pt idx="7">
                  <c:v>2688.0</c:v>
                </c:pt>
                <c:pt idx="8">
                  <c:v>2688.0</c:v>
                </c:pt>
                <c:pt idx="9">
                  <c:v>2688.0</c:v>
                </c:pt>
                <c:pt idx="10">
                  <c:v>2688.0</c:v>
                </c:pt>
                <c:pt idx="11">
                  <c:v>2688.0</c:v>
                </c:pt>
                <c:pt idx="12">
                  <c:v>2688.0</c:v>
                </c:pt>
                <c:pt idx="13">
                  <c:v>2688.0</c:v>
                </c:pt>
                <c:pt idx="14">
                  <c:v>2688.0</c:v>
                </c:pt>
                <c:pt idx="15">
                  <c:v>2688.0</c:v>
                </c:pt>
                <c:pt idx="16">
                  <c:v>2688.0</c:v>
                </c:pt>
                <c:pt idx="17">
                  <c:v>2688.0</c:v>
                </c:pt>
                <c:pt idx="18">
                  <c:v>2688.0</c:v>
                </c:pt>
                <c:pt idx="19">
                  <c:v>2688.0</c:v>
                </c:pt>
                <c:pt idx="20">
                  <c:v>2688.0</c:v>
                </c:pt>
                <c:pt idx="21">
                  <c:v>2688.0</c:v>
                </c:pt>
                <c:pt idx="22">
                  <c:v>2688.0</c:v>
                </c:pt>
                <c:pt idx="23">
                  <c:v>2688.0</c:v>
                </c:pt>
                <c:pt idx="24">
                  <c:v>2688.0</c:v>
                </c:pt>
                <c:pt idx="25">
                  <c:v>2688.0</c:v>
                </c:pt>
                <c:pt idx="26">
                  <c:v>2688.0</c:v>
                </c:pt>
                <c:pt idx="27">
                  <c:v>2688.0</c:v>
                </c:pt>
                <c:pt idx="28">
                  <c:v>2688.0</c:v>
                </c:pt>
                <c:pt idx="29">
                  <c:v>2688.0</c:v>
                </c:pt>
                <c:pt idx="30">
                  <c:v>2688.0</c:v>
                </c:pt>
                <c:pt idx="31">
                  <c:v>2688.0</c:v>
                </c:pt>
                <c:pt idx="32">
                  <c:v>2688.0</c:v>
                </c:pt>
                <c:pt idx="33">
                  <c:v>2688.0</c:v>
                </c:pt>
                <c:pt idx="34">
                  <c:v>2688.0</c:v>
                </c:pt>
                <c:pt idx="35">
                  <c:v>2688.0</c:v>
                </c:pt>
                <c:pt idx="36">
                  <c:v>2688.0</c:v>
                </c:pt>
                <c:pt idx="37">
                  <c:v>2688.0</c:v>
                </c:pt>
                <c:pt idx="38">
                  <c:v>2688.0</c:v>
                </c:pt>
                <c:pt idx="39">
                  <c:v>2688.0</c:v>
                </c:pt>
                <c:pt idx="40">
                  <c:v>2688.0</c:v>
                </c:pt>
                <c:pt idx="41">
                  <c:v>2688.0</c:v>
                </c:pt>
                <c:pt idx="42">
                  <c:v>2688.0</c:v>
                </c:pt>
                <c:pt idx="43">
                  <c:v>2688.0</c:v>
                </c:pt>
                <c:pt idx="44">
                  <c:v>2688.0</c:v>
                </c:pt>
                <c:pt idx="45">
                  <c:v>2688.0</c:v>
                </c:pt>
                <c:pt idx="46">
                  <c:v>2688.0</c:v>
                </c:pt>
                <c:pt idx="47">
                  <c:v>2688.0</c:v>
                </c:pt>
                <c:pt idx="48">
                  <c:v>2688.0</c:v>
                </c:pt>
                <c:pt idx="49">
                  <c:v>48384.00000000001</c:v>
                </c:pt>
                <c:pt idx="50">
                  <c:v>48384.00000000001</c:v>
                </c:pt>
                <c:pt idx="51">
                  <c:v>48384.00000000001</c:v>
                </c:pt>
                <c:pt idx="52">
                  <c:v>48384.00000000001</c:v>
                </c:pt>
                <c:pt idx="53">
                  <c:v>48384.00000000001</c:v>
                </c:pt>
                <c:pt idx="54">
                  <c:v>48384.00000000001</c:v>
                </c:pt>
                <c:pt idx="55">
                  <c:v>48384.00000000001</c:v>
                </c:pt>
                <c:pt idx="56">
                  <c:v>48384.00000000001</c:v>
                </c:pt>
                <c:pt idx="57">
                  <c:v>48384.00000000001</c:v>
                </c:pt>
                <c:pt idx="58">
                  <c:v>48384.00000000001</c:v>
                </c:pt>
                <c:pt idx="59">
                  <c:v>48384.00000000001</c:v>
                </c:pt>
                <c:pt idx="60">
                  <c:v>48384.00000000001</c:v>
                </c:pt>
                <c:pt idx="61">
                  <c:v>48384.00000000001</c:v>
                </c:pt>
                <c:pt idx="62">
                  <c:v>48384.00000000001</c:v>
                </c:pt>
                <c:pt idx="63">
                  <c:v>48384.00000000001</c:v>
                </c:pt>
                <c:pt idx="64">
                  <c:v>48384.00000000001</c:v>
                </c:pt>
                <c:pt idx="65">
                  <c:v>48384.00000000001</c:v>
                </c:pt>
                <c:pt idx="66">
                  <c:v>48384.00000000001</c:v>
                </c:pt>
                <c:pt idx="67">
                  <c:v>48384.00000000001</c:v>
                </c:pt>
                <c:pt idx="68">
                  <c:v>48384.00000000001</c:v>
                </c:pt>
                <c:pt idx="69">
                  <c:v>48384.00000000001</c:v>
                </c:pt>
                <c:pt idx="70">
                  <c:v>48384.00000000001</c:v>
                </c:pt>
                <c:pt idx="71">
                  <c:v>48384.00000000001</c:v>
                </c:pt>
                <c:pt idx="72">
                  <c:v>48384.00000000001</c:v>
                </c:pt>
                <c:pt idx="73">
                  <c:v>48384.00000000001</c:v>
                </c:pt>
                <c:pt idx="74">
                  <c:v>48384.00000000001</c:v>
                </c:pt>
                <c:pt idx="75">
                  <c:v>48384.00000000001</c:v>
                </c:pt>
                <c:pt idx="76">
                  <c:v>48384.00000000001</c:v>
                </c:pt>
                <c:pt idx="77">
                  <c:v>48384.00000000001</c:v>
                </c:pt>
                <c:pt idx="78">
                  <c:v>48384.00000000001</c:v>
                </c:pt>
                <c:pt idx="79">
                  <c:v>48384.00000000001</c:v>
                </c:pt>
                <c:pt idx="80">
                  <c:v>48384.00000000001</c:v>
                </c:pt>
                <c:pt idx="81">
                  <c:v>48384.00000000001</c:v>
                </c:pt>
                <c:pt idx="82">
                  <c:v>48384.00000000001</c:v>
                </c:pt>
                <c:pt idx="83">
                  <c:v>48384.00000000001</c:v>
                </c:pt>
                <c:pt idx="84">
                  <c:v>48384.00000000001</c:v>
                </c:pt>
                <c:pt idx="85">
                  <c:v>48384.00000000001</c:v>
                </c:pt>
                <c:pt idx="86">
                  <c:v>48384.00000000001</c:v>
                </c:pt>
                <c:pt idx="87">
                  <c:v>48384.00000000001</c:v>
                </c:pt>
                <c:pt idx="88">
                  <c:v>48384.00000000001</c:v>
                </c:pt>
                <c:pt idx="89">
                  <c:v>48384.00000000001</c:v>
                </c:pt>
                <c:pt idx="90">
                  <c:v>48384.00000000001</c:v>
                </c:pt>
                <c:pt idx="91">
                  <c:v>48384.00000000001</c:v>
                </c:pt>
                <c:pt idx="92">
                  <c:v>48384.00000000001</c:v>
                </c:pt>
                <c:pt idx="93">
                  <c:v>48384.00000000001</c:v>
                </c:pt>
                <c:pt idx="94">
                  <c:v>48384.00000000001</c:v>
                </c:pt>
                <c:pt idx="95">
                  <c:v>48384.00000000001</c:v>
                </c:pt>
                <c:pt idx="96">
                  <c:v>48384.00000000001</c:v>
                </c:pt>
                <c:pt idx="97">
                  <c:v>48384.00000000001</c:v>
                </c:pt>
                <c:pt idx="98">
                  <c:v>48384.00000000001</c:v>
                </c:pt>
                <c:pt idx="99">
                  <c:v>48384.00000000001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9282280"/>
        <c:axId val="1868751672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18678.90446395996</c:v>
                </c:pt>
                <c:pt idx="1">
                  <c:v>18678.90446395996</c:v>
                </c:pt>
                <c:pt idx="2">
                  <c:v>18678.90446395996</c:v>
                </c:pt>
                <c:pt idx="3">
                  <c:v>18678.90446395996</c:v>
                </c:pt>
                <c:pt idx="4">
                  <c:v>18678.90446395996</c:v>
                </c:pt>
                <c:pt idx="5">
                  <c:v>18678.90446395996</c:v>
                </c:pt>
                <c:pt idx="6">
                  <c:v>18678.90446395996</c:v>
                </c:pt>
                <c:pt idx="7">
                  <c:v>18678.90446395996</c:v>
                </c:pt>
                <c:pt idx="8">
                  <c:v>18678.90446395996</c:v>
                </c:pt>
                <c:pt idx="9">
                  <c:v>18678.90446395996</c:v>
                </c:pt>
                <c:pt idx="10">
                  <c:v>18678.90446395996</c:v>
                </c:pt>
                <c:pt idx="11">
                  <c:v>18678.90446395996</c:v>
                </c:pt>
                <c:pt idx="12">
                  <c:v>18678.90446395996</c:v>
                </c:pt>
                <c:pt idx="13">
                  <c:v>18678.90446395996</c:v>
                </c:pt>
                <c:pt idx="14">
                  <c:v>18678.90446395996</c:v>
                </c:pt>
                <c:pt idx="15">
                  <c:v>18678.90446395996</c:v>
                </c:pt>
                <c:pt idx="16">
                  <c:v>18678.90446395996</c:v>
                </c:pt>
                <c:pt idx="17">
                  <c:v>18678.90446395996</c:v>
                </c:pt>
                <c:pt idx="18">
                  <c:v>18678.90446395996</c:v>
                </c:pt>
                <c:pt idx="19">
                  <c:v>18678.90446395996</c:v>
                </c:pt>
                <c:pt idx="20">
                  <c:v>18678.90446395996</c:v>
                </c:pt>
                <c:pt idx="21">
                  <c:v>18678.90446395996</c:v>
                </c:pt>
                <c:pt idx="22">
                  <c:v>18678.90446395996</c:v>
                </c:pt>
                <c:pt idx="23">
                  <c:v>18678.90446395996</c:v>
                </c:pt>
                <c:pt idx="24">
                  <c:v>18678.90446395996</c:v>
                </c:pt>
                <c:pt idx="25">
                  <c:v>18678.90446395996</c:v>
                </c:pt>
                <c:pt idx="26">
                  <c:v>18678.90446395996</c:v>
                </c:pt>
                <c:pt idx="27">
                  <c:v>18678.90446395996</c:v>
                </c:pt>
                <c:pt idx="28">
                  <c:v>18678.90446395996</c:v>
                </c:pt>
                <c:pt idx="29">
                  <c:v>18678.90446395996</c:v>
                </c:pt>
                <c:pt idx="30">
                  <c:v>18678.90446395996</c:v>
                </c:pt>
                <c:pt idx="31">
                  <c:v>18678.90446395996</c:v>
                </c:pt>
                <c:pt idx="32">
                  <c:v>18678.90446395996</c:v>
                </c:pt>
                <c:pt idx="33">
                  <c:v>18678.90446395996</c:v>
                </c:pt>
                <c:pt idx="34">
                  <c:v>18678.90446395996</c:v>
                </c:pt>
                <c:pt idx="35">
                  <c:v>18678.90446395996</c:v>
                </c:pt>
                <c:pt idx="36">
                  <c:v>18678.90446395996</c:v>
                </c:pt>
                <c:pt idx="37">
                  <c:v>18678.90446395996</c:v>
                </c:pt>
                <c:pt idx="38">
                  <c:v>18678.90446395996</c:v>
                </c:pt>
                <c:pt idx="39">
                  <c:v>18678.90446395996</c:v>
                </c:pt>
                <c:pt idx="40">
                  <c:v>18678.90446395996</c:v>
                </c:pt>
                <c:pt idx="41">
                  <c:v>18678.90446395996</c:v>
                </c:pt>
                <c:pt idx="42">
                  <c:v>18678.90446395996</c:v>
                </c:pt>
                <c:pt idx="43">
                  <c:v>18678.90446395996</c:v>
                </c:pt>
                <c:pt idx="44">
                  <c:v>18678.90446395996</c:v>
                </c:pt>
                <c:pt idx="45">
                  <c:v>18678.90446395996</c:v>
                </c:pt>
                <c:pt idx="46">
                  <c:v>18678.90446395996</c:v>
                </c:pt>
                <c:pt idx="47">
                  <c:v>18678.90446395996</c:v>
                </c:pt>
                <c:pt idx="48">
                  <c:v>18678.90446395996</c:v>
                </c:pt>
                <c:pt idx="49">
                  <c:v>18678.90446395997</c:v>
                </c:pt>
                <c:pt idx="50">
                  <c:v>18678.90446395997</c:v>
                </c:pt>
                <c:pt idx="51">
                  <c:v>18678.90446395997</c:v>
                </c:pt>
                <c:pt idx="52">
                  <c:v>18678.90446395997</c:v>
                </c:pt>
                <c:pt idx="53">
                  <c:v>18678.90446395997</c:v>
                </c:pt>
                <c:pt idx="54">
                  <c:v>18678.90446395997</c:v>
                </c:pt>
                <c:pt idx="55">
                  <c:v>18678.90446395997</c:v>
                </c:pt>
                <c:pt idx="56">
                  <c:v>18678.90446395997</c:v>
                </c:pt>
                <c:pt idx="57">
                  <c:v>18678.90446395997</c:v>
                </c:pt>
                <c:pt idx="58">
                  <c:v>18678.90446395997</c:v>
                </c:pt>
                <c:pt idx="59">
                  <c:v>18678.90446395997</c:v>
                </c:pt>
                <c:pt idx="60">
                  <c:v>18678.90446395997</c:v>
                </c:pt>
                <c:pt idx="61">
                  <c:v>18678.90446395997</c:v>
                </c:pt>
                <c:pt idx="62">
                  <c:v>18678.90446395997</c:v>
                </c:pt>
                <c:pt idx="63">
                  <c:v>18678.90446395997</c:v>
                </c:pt>
                <c:pt idx="64">
                  <c:v>18678.90446395997</c:v>
                </c:pt>
                <c:pt idx="65">
                  <c:v>18678.90446395997</c:v>
                </c:pt>
                <c:pt idx="66">
                  <c:v>18678.90446395997</c:v>
                </c:pt>
                <c:pt idx="67">
                  <c:v>18678.90446395997</c:v>
                </c:pt>
                <c:pt idx="68">
                  <c:v>18678.90446395997</c:v>
                </c:pt>
                <c:pt idx="69">
                  <c:v>18678.90446395997</c:v>
                </c:pt>
                <c:pt idx="70">
                  <c:v>18678.90446395997</c:v>
                </c:pt>
                <c:pt idx="71">
                  <c:v>18678.90446395997</c:v>
                </c:pt>
                <c:pt idx="72">
                  <c:v>18678.90446395997</c:v>
                </c:pt>
                <c:pt idx="73">
                  <c:v>18678.90446395997</c:v>
                </c:pt>
                <c:pt idx="74">
                  <c:v>18678.90446395997</c:v>
                </c:pt>
                <c:pt idx="75">
                  <c:v>18678.90446395997</c:v>
                </c:pt>
                <c:pt idx="76">
                  <c:v>18678.90446395997</c:v>
                </c:pt>
                <c:pt idx="77">
                  <c:v>18678.90446395997</c:v>
                </c:pt>
                <c:pt idx="78">
                  <c:v>18678.90446395997</c:v>
                </c:pt>
                <c:pt idx="79">
                  <c:v>18678.90446395997</c:v>
                </c:pt>
                <c:pt idx="80">
                  <c:v>18678.90446395997</c:v>
                </c:pt>
                <c:pt idx="81">
                  <c:v>18678.90446395997</c:v>
                </c:pt>
                <c:pt idx="82">
                  <c:v>18678.90446395997</c:v>
                </c:pt>
                <c:pt idx="83">
                  <c:v>18678.90446395997</c:v>
                </c:pt>
                <c:pt idx="84">
                  <c:v>18678.90446395997</c:v>
                </c:pt>
                <c:pt idx="85">
                  <c:v>18678.90446395997</c:v>
                </c:pt>
                <c:pt idx="86">
                  <c:v>18678.90446395997</c:v>
                </c:pt>
                <c:pt idx="87">
                  <c:v>18678.90446395997</c:v>
                </c:pt>
                <c:pt idx="88">
                  <c:v>18678.90446395997</c:v>
                </c:pt>
                <c:pt idx="89">
                  <c:v>18678.90446395997</c:v>
                </c:pt>
                <c:pt idx="90">
                  <c:v>18678.90446395997</c:v>
                </c:pt>
                <c:pt idx="91">
                  <c:v>18678.90446395997</c:v>
                </c:pt>
                <c:pt idx="92">
                  <c:v>18678.90446395997</c:v>
                </c:pt>
                <c:pt idx="93">
                  <c:v>18678.90446395997</c:v>
                </c:pt>
                <c:pt idx="94">
                  <c:v>18678.90446395997</c:v>
                </c:pt>
                <c:pt idx="95">
                  <c:v>18678.90446395997</c:v>
                </c:pt>
                <c:pt idx="96">
                  <c:v>18678.90446395997</c:v>
                </c:pt>
                <c:pt idx="97">
                  <c:v>18678.90446395997</c:v>
                </c:pt>
                <c:pt idx="98">
                  <c:v>18678.90446395997</c:v>
                </c:pt>
                <c:pt idx="99">
                  <c:v>18678.90446395997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282280"/>
        <c:axId val="1868751672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40180.13575547864</c:v>
                </c:pt>
                <c:pt idx="13">
                  <c:v>40710.22105850904</c:v>
                </c:pt>
                <c:pt idx="14">
                  <c:v>41240.30636153945</c:v>
                </c:pt>
                <c:pt idx="15">
                  <c:v>41770.39166456986</c:v>
                </c:pt>
                <c:pt idx="16">
                  <c:v>42300.47696760026</c:v>
                </c:pt>
                <c:pt idx="17">
                  <c:v>42830.56227063067</c:v>
                </c:pt>
                <c:pt idx="18">
                  <c:v>43360.64757366107</c:v>
                </c:pt>
                <c:pt idx="19">
                  <c:v>43890.73287669148</c:v>
                </c:pt>
                <c:pt idx="20">
                  <c:v>44420.81817972188</c:v>
                </c:pt>
                <c:pt idx="21">
                  <c:v>44950.90348275229</c:v>
                </c:pt>
                <c:pt idx="22">
                  <c:v>45480.9887857827</c:v>
                </c:pt>
                <c:pt idx="23">
                  <c:v>46011.0740888131</c:v>
                </c:pt>
                <c:pt idx="24">
                  <c:v>46541.15939184351</c:v>
                </c:pt>
                <c:pt idx="25">
                  <c:v>47071.24469487392</c:v>
                </c:pt>
                <c:pt idx="26">
                  <c:v>47601.32999790432</c:v>
                </c:pt>
                <c:pt idx="27">
                  <c:v>48131.41530093473</c:v>
                </c:pt>
                <c:pt idx="28">
                  <c:v>48661.50060396513</c:v>
                </c:pt>
                <c:pt idx="29">
                  <c:v>49191.58590699554</c:v>
                </c:pt>
                <c:pt idx="30">
                  <c:v>49721.67121002595</c:v>
                </c:pt>
                <c:pt idx="31">
                  <c:v>50251.75651305635</c:v>
                </c:pt>
                <c:pt idx="32">
                  <c:v>50781.84181608675</c:v>
                </c:pt>
                <c:pt idx="33">
                  <c:v>51311.92711911716</c:v>
                </c:pt>
                <c:pt idx="34">
                  <c:v>51842.01242214757</c:v>
                </c:pt>
                <c:pt idx="35">
                  <c:v>52372.09772517798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282280"/>
        <c:axId val="1868751672"/>
      </c:scatterChart>
      <c:catAx>
        <c:axId val="186928228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87516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8687516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9282280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1487.014504543879</c:v>
                </c:pt>
                <c:pt idx="1">
                  <c:v>1487.014504543879</c:v>
                </c:pt>
                <c:pt idx="2">
                  <c:v>1487.014504543879</c:v>
                </c:pt>
                <c:pt idx="3">
                  <c:v>1487.014504543879</c:v>
                </c:pt>
                <c:pt idx="4">
                  <c:v>1487.014504543879</c:v>
                </c:pt>
                <c:pt idx="5">
                  <c:v>1487.014504543879</c:v>
                </c:pt>
                <c:pt idx="6">
                  <c:v>1487.014504543879</c:v>
                </c:pt>
                <c:pt idx="7">
                  <c:v>1487.014504543879</c:v>
                </c:pt>
                <c:pt idx="8">
                  <c:v>1487.014504543879</c:v>
                </c:pt>
                <c:pt idx="9">
                  <c:v>1487.014504543879</c:v>
                </c:pt>
                <c:pt idx="10">
                  <c:v>1487.014504543879</c:v>
                </c:pt>
                <c:pt idx="11">
                  <c:v>1487.014504543879</c:v>
                </c:pt>
                <c:pt idx="12">
                  <c:v>1487.014504543879</c:v>
                </c:pt>
                <c:pt idx="13">
                  <c:v>1487.014504543879</c:v>
                </c:pt>
                <c:pt idx="14">
                  <c:v>1487.014504543879</c:v>
                </c:pt>
                <c:pt idx="15">
                  <c:v>1487.014504543879</c:v>
                </c:pt>
                <c:pt idx="16">
                  <c:v>1487.014504543879</c:v>
                </c:pt>
                <c:pt idx="17">
                  <c:v>1487.014504543879</c:v>
                </c:pt>
                <c:pt idx="18">
                  <c:v>1487.014504543879</c:v>
                </c:pt>
                <c:pt idx="19">
                  <c:v>1487.014504543879</c:v>
                </c:pt>
                <c:pt idx="20">
                  <c:v>1487.014504543879</c:v>
                </c:pt>
                <c:pt idx="21">
                  <c:v>1487.014504543879</c:v>
                </c:pt>
                <c:pt idx="22">
                  <c:v>1487.014504543879</c:v>
                </c:pt>
                <c:pt idx="23">
                  <c:v>1487.014504543879</c:v>
                </c:pt>
                <c:pt idx="24">
                  <c:v>1487.014504543879</c:v>
                </c:pt>
                <c:pt idx="25">
                  <c:v>1503.753296966925</c:v>
                </c:pt>
                <c:pt idx="26">
                  <c:v>1537.230881813018</c:v>
                </c:pt>
                <c:pt idx="27">
                  <c:v>1570.708466659111</c:v>
                </c:pt>
                <c:pt idx="28">
                  <c:v>1604.186051505204</c:v>
                </c:pt>
                <c:pt idx="29">
                  <c:v>1637.663636351298</c:v>
                </c:pt>
                <c:pt idx="30">
                  <c:v>1671.141221197391</c:v>
                </c:pt>
                <c:pt idx="31">
                  <c:v>1704.618806043484</c:v>
                </c:pt>
                <c:pt idx="32">
                  <c:v>1738.096390889577</c:v>
                </c:pt>
                <c:pt idx="33">
                  <c:v>1771.57397573567</c:v>
                </c:pt>
                <c:pt idx="34">
                  <c:v>1805.051560581763</c:v>
                </c:pt>
                <c:pt idx="35">
                  <c:v>1838.529145427857</c:v>
                </c:pt>
                <c:pt idx="36">
                  <c:v>1872.00673027395</c:v>
                </c:pt>
                <c:pt idx="37">
                  <c:v>1905.484315120043</c:v>
                </c:pt>
                <c:pt idx="38">
                  <c:v>1938.961899966136</c:v>
                </c:pt>
                <c:pt idx="39">
                  <c:v>1972.43948481223</c:v>
                </c:pt>
                <c:pt idx="40">
                  <c:v>2005.917069658322</c:v>
                </c:pt>
                <c:pt idx="41">
                  <c:v>2039.394654504415</c:v>
                </c:pt>
                <c:pt idx="42">
                  <c:v>2072.872239350508</c:v>
                </c:pt>
                <c:pt idx="43">
                  <c:v>2106.349824196602</c:v>
                </c:pt>
                <c:pt idx="44">
                  <c:v>2139.827409042695</c:v>
                </c:pt>
                <c:pt idx="45">
                  <c:v>2173.304993888788</c:v>
                </c:pt>
                <c:pt idx="46">
                  <c:v>2206.782578734881</c:v>
                </c:pt>
                <c:pt idx="47">
                  <c:v>2240.260163580974</c:v>
                </c:pt>
                <c:pt idx="48">
                  <c:v>2273.737748427067</c:v>
                </c:pt>
                <c:pt idx="49">
                  <c:v>2307.21533327316</c:v>
                </c:pt>
                <c:pt idx="50">
                  <c:v>3458.848800919703</c:v>
                </c:pt>
                <c:pt idx="51">
                  <c:v>3458.848800919703</c:v>
                </c:pt>
                <c:pt idx="52">
                  <c:v>3458.848800919703</c:v>
                </c:pt>
                <c:pt idx="53">
                  <c:v>3458.848800919703</c:v>
                </c:pt>
                <c:pt idx="54">
                  <c:v>3458.848800919703</c:v>
                </c:pt>
                <c:pt idx="55">
                  <c:v>3458.848800919703</c:v>
                </c:pt>
                <c:pt idx="56">
                  <c:v>3458.848800919703</c:v>
                </c:pt>
                <c:pt idx="57">
                  <c:v>3458.848800919703</c:v>
                </c:pt>
                <c:pt idx="58">
                  <c:v>3458.848800919703</c:v>
                </c:pt>
                <c:pt idx="59">
                  <c:v>3458.848800919703</c:v>
                </c:pt>
                <c:pt idx="60">
                  <c:v>3458.848800919703</c:v>
                </c:pt>
                <c:pt idx="61">
                  <c:v>3458.848800919703</c:v>
                </c:pt>
                <c:pt idx="62">
                  <c:v>3458.848800919703</c:v>
                </c:pt>
                <c:pt idx="63">
                  <c:v>3458.848800919703</c:v>
                </c:pt>
                <c:pt idx="64">
                  <c:v>3458.848800919703</c:v>
                </c:pt>
                <c:pt idx="65">
                  <c:v>3458.848800919703</c:v>
                </c:pt>
                <c:pt idx="66">
                  <c:v>3458.848800919703</c:v>
                </c:pt>
                <c:pt idx="67">
                  <c:v>3458.848800919703</c:v>
                </c:pt>
                <c:pt idx="68">
                  <c:v>3458.848800919703</c:v>
                </c:pt>
                <c:pt idx="69">
                  <c:v>3458.848800919703</c:v>
                </c:pt>
                <c:pt idx="70">
                  <c:v>3458.848800919703</c:v>
                </c:pt>
                <c:pt idx="71">
                  <c:v>3458.848800919703</c:v>
                </c:pt>
                <c:pt idx="72">
                  <c:v>3458.848800919703</c:v>
                </c:pt>
                <c:pt idx="73">
                  <c:v>3458.848800919703</c:v>
                </c:pt>
                <c:pt idx="74">
                  <c:v>3458.848800919703</c:v>
                </c:pt>
                <c:pt idx="75">
                  <c:v>3458.848800919703</c:v>
                </c:pt>
                <c:pt idx="76">
                  <c:v>3458.848800919703</c:v>
                </c:pt>
                <c:pt idx="77">
                  <c:v>3458.848800919703</c:v>
                </c:pt>
                <c:pt idx="78">
                  <c:v>3458.848800919703</c:v>
                </c:pt>
                <c:pt idx="79">
                  <c:v>3458.848800919703</c:v>
                </c:pt>
                <c:pt idx="80">
                  <c:v>3458.848800919703</c:v>
                </c:pt>
                <c:pt idx="81">
                  <c:v>3458.848800919703</c:v>
                </c:pt>
                <c:pt idx="82">
                  <c:v>3458.848800919703</c:v>
                </c:pt>
                <c:pt idx="83">
                  <c:v>3458.848800919703</c:v>
                </c:pt>
                <c:pt idx="84">
                  <c:v>3458.848800919703</c:v>
                </c:pt>
                <c:pt idx="85">
                  <c:v>3458.848800919703</c:v>
                </c:pt>
                <c:pt idx="86">
                  <c:v>3458.848800919703</c:v>
                </c:pt>
                <c:pt idx="87">
                  <c:v>3458.848800919703</c:v>
                </c:pt>
                <c:pt idx="88">
                  <c:v>3458.848800919703</c:v>
                </c:pt>
                <c:pt idx="89">
                  <c:v>3458.848800919703</c:v>
                </c:pt>
                <c:pt idx="90">
                  <c:v>3458.848800919703</c:v>
                </c:pt>
                <c:pt idx="91">
                  <c:v>3458.848800919703</c:v>
                </c:pt>
                <c:pt idx="92">
                  <c:v>3458.848800919703</c:v>
                </c:pt>
                <c:pt idx="93">
                  <c:v>3458.848800919703</c:v>
                </c:pt>
                <c:pt idx="94">
                  <c:v>3458.848800919703</c:v>
                </c:pt>
                <c:pt idx="95">
                  <c:v>3458.848800919703</c:v>
                </c:pt>
                <c:pt idx="96">
                  <c:v>3458.848800919703</c:v>
                </c:pt>
                <c:pt idx="97">
                  <c:v>3458.848800919703</c:v>
                </c:pt>
                <c:pt idx="98">
                  <c:v>3458.848800919703</c:v>
                </c:pt>
                <c:pt idx="99">
                  <c:v>3458.848800919703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18345.6</c:v>
                </c:pt>
                <c:pt idx="51">
                  <c:v>18345.6</c:v>
                </c:pt>
                <c:pt idx="52">
                  <c:v>18345.6</c:v>
                </c:pt>
                <c:pt idx="53">
                  <c:v>18345.6</c:v>
                </c:pt>
                <c:pt idx="54">
                  <c:v>18345.6</c:v>
                </c:pt>
                <c:pt idx="55">
                  <c:v>18345.6</c:v>
                </c:pt>
                <c:pt idx="56">
                  <c:v>18345.6</c:v>
                </c:pt>
                <c:pt idx="57">
                  <c:v>18345.6</c:v>
                </c:pt>
                <c:pt idx="58">
                  <c:v>18345.6</c:v>
                </c:pt>
                <c:pt idx="59">
                  <c:v>18345.6</c:v>
                </c:pt>
                <c:pt idx="60">
                  <c:v>18345.6</c:v>
                </c:pt>
                <c:pt idx="61">
                  <c:v>18345.6</c:v>
                </c:pt>
                <c:pt idx="62">
                  <c:v>18345.6</c:v>
                </c:pt>
                <c:pt idx="63">
                  <c:v>18345.6</c:v>
                </c:pt>
                <c:pt idx="64">
                  <c:v>18345.6</c:v>
                </c:pt>
                <c:pt idx="65">
                  <c:v>18345.6</c:v>
                </c:pt>
                <c:pt idx="66">
                  <c:v>18345.6</c:v>
                </c:pt>
                <c:pt idx="67">
                  <c:v>18345.6</c:v>
                </c:pt>
                <c:pt idx="68">
                  <c:v>18345.6</c:v>
                </c:pt>
                <c:pt idx="69">
                  <c:v>18345.6</c:v>
                </c:pt>
                <c:pt idx="70">
                  <c:v>18345.6</c:v>
                </c:pt>
                <c:pt idx="71">
                  <c:v>18345.6</c:v>
                </c:pt>
                <c:pt idx="72">
                  <c:v>18345.6</c:v>
                </c:pt>
                <c:pt idx="73">
                  <c:v>18345.6</c:v>
                </c:pt>
                <c:pt idx="74">
                  <c:v>18345.6</c:v>
                </c:pt>
                <c:pt idx="75">
                  <c:v>18345.6</c:v>
                </c:pt>
                <c:pt idx="76">
                  <c:v>18345.6</c:v>
                </c:pt>
                <c:pt idx="77">
                  <c:v>18345.6</c:v>
                </c:pt>
                <c:pt idx="78">
                  <c:v>18345.6</c:v>
                </c:pt>
                <c:pt idx="79">
                  <c:v>18345.6</c:v>
                </c:pt>
                <c:pt idx="80">
                  <c:v>18345.6</c:v>
                </c:pt>
                <c:pt idx="81">
                  <c:v>18345.6</c:v>
                </c:pt>
                <c:pt idx="82">
                  <c:v>18345.6</c:v>
                </c:pt>
                <c:pt idx="83">
                  <c:v>18345.6</c:v>
                </c:pt>
                <c:pt idx="84">
                  <c:v>18345.6</c:v>
                </c:pt>
                <c:pt idx="85">
                  <c:v>18345.6</c:v>
                </c:pt>
                <c:pt idx="86">
                  <c:v>18345.6</c:v>
                </c:pt>
                <c:pt idx="87">
                  <c:v>18345.6</c:v>
                </c:pt>
                <c:pt idx="88">
                  <c:v>18345.6</c:v>
                </c:pt>
                <c:pt idx="89">
                  <c:v>18345.6</c:v>
                </c:pt>
                <c:pt idx="90">
                  <c:v>18345.6</c:v>
                </c:pt>
                <c:pt idx="91">
                  <c:v>18345.6</c:v>
                </c:pt>
                <c:pt idx="92">
                  <c:v>18345.6</c:v>
                </c:pt>
                <c:pt idx="93">
                  <c:v>18345.6</c:v>
                </c:pt>
                <c:pt idx="94">
                  <c:v>18345.6</c:v>
                </c:pt>
                <c:pt idx="95">
                  <c:v>18345.6</c:v>
                </c:pt>
                <c:pt idx="96">
                  <c:v>18345.6</c:v>
                </c:pt>
                <c:pt idx="97">
                  <c:v>18345.6</c:v>
                </c:pt>
                <c:pt idx="98">
                  <c:v>18345.6</c:v>
                </c:pt>
                <c:pt idx="99">
                  <c:v>18345.6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0.461267603244202</c:v>
                </c:pt>
                <c:pt idx="26">
                  <c:v>1.383802809732606</c:v>
                </c:pt>
                <c:pt idx="27">
                  <c:v>2.30633801622101</c:v>
                </c:pt>
                <c:pt idx="28">
                  <c:v>3.228873222709414</c:v>
                </c:pt>
                <c:pt idx="29">
                  <c:v>4.151408429197819</c:v>
                </c:pt>
                <c:pt idx="30">
                  <c:v>5.073943635686222</c:v>
                </c:pt>
                <c:pt idx="31">
                  <c:v>5.996478842174626</c:v>
                </c:pt>
                <c:pt idx="32">
                  <c:v>6.919014048663031</c:v>
                </c:pt>
                <c:pt idx="33">
                  <c:v>7.841549255151436</c:v>
                </c:pt>
                <c:pt idx="34">
                  <c:v>8.76408446163984</c:v>
                </c:pt>
                <c:pt idx="35">
                  <c:v>9.686619668128244</c:v>
                </c:pt>
                <c:pt idx="36">
                  <c:v>10.60915487461665</c:v>
                </c:pt>
                <c:pt idx="37">
                  <c:v>11.53169008110505</c:v>
                </c:pt>
                <c:pt idx="38">
                  <c:v>12.45422528759346</c:v>
                </c:pt>
                <c:pt idx="39">
                  <c:v>13.37676049408186</c:v>
                </c:pt>
                <c:pt idx="40">
                  <c:v>14.29929570057026</c:v>
                </c:pt>
                <c:pt idx="41">
                  <c:v>15.22183090705867</c:v>
                </c:pt>
                <c:pt idx="42">
                  <c:v>16.14436611354707</c:v>
                </c:pt>
                <c:pt idx="43">
                  <c:v>17.06690132003548</c:v>
                </c:pt>
                <c:pt idx="44">
                  <c:v>17.98943652652388</c:v>
                </c:pt>
                <c:pt idx="45">
                  <c:v>18.91197173301228</c:v>
                </c:pt>
                <c:pt idx="46">
                  <c:v>19.83450693950069</c:v>
                </c:pt>
                <c:pt idx="47">
                  <c:v>20.75704214598909</c:v>
                </c:pt>
                <c:pt idx="48">
                  <c:v>21.6795773524775</c:v>
                </c:pt>
                <c:pt idx="49">
                  <c:v>22.6021125589659</c:v>
                </c:pt>
                <c:pt idx="50">
                  <c:v>1530.359424806298</c:v>
                </c:pt>
                <c:pt idx="51">
                  <c:v>1530.359424806298</c:v>
                </c:pt>
                <c:pt idx="52">
                  <c:v>1530.359424806298</c:v>
                </c:pt>
                <c:pt idx="53">
                  <c:v>1530.359424806298</c:v>
                </c:pt>
                <c:pt idx="54">
                  <c:v>1530.359424806298</c:v>
                </c:pt>
                <c:pt idx="55">
                  <c:v>1530.359424806298</c:v>
                </c:pt>
                <c:pt idx="56">
                  <c:v>1530.359424806298</c:v>
                </c:pt>
                <c:pt idx="57">
                  <c:v>1530.359424806298</c:v>
                </c:pt>
                <c:pt idx="58">
                  <c:v>1530.359424806298</c:v>
                </c:pt>
                <c:pt idx="59">
                  <c:v>1530.359424806298</c:v>
                </c:pt>
                <c:pt idx="60">
                  <c:v>1530.359424806298</c:v>
                </c:pt>
                <c:pt idx="61">
                  <c:v>1530.359424806298</c:v>
                </c:pt>
                <c:pt idx="62">
                  <c:v>1530.359424806298</c:v>
                </c:pt>
                <c:pt idx="63">
                  <c:v>1530.359424806298</c:v>
                </c:pt>
                <c:pt idx="64">
                  <c:v>1530.359424806298</c:v>
                </c:pt>
                <c:pt idx="65">
                  <c:v>1530.359424806298</c:v>
                </c:pt>
                <c:pt idx="66">
                  <c:v>1530.359424806298</c:v>
                </c:pt>
                <c:pt idx="67">
                  <c:v>1530.359424806298</c:v>
                </c:pt>
                <c:pt idx="68">
                  <c:v>1530.359424806298</c:v>
                </c:pt>
                <c:pt idx="69">
                  <c:v>1530.359424806298</c:v>
                </c:pt>
                <c:pt idx="70">
                  <c:v>1530.359424806298</c:v>
                </c:pt>
                <c:pt idx="71">
                  <c:v>1530.359424806298</c:v>
                </c:pt>
                <c:pt idx="72">
                  <c:v>1530.359424806298</c:v>
                </c:pt>
                <c:pt idx="73">
                  <c:v>1530.359424806298</c:v>
                </c:pt>
                <c:pt idx="74">
                  <c:v>1530.359424806298</c:v>
                </c:pt>
                <c:pt idx="75">
                  <c:v>1530.359424806298</c:v>
                </c:pt>
                <c:pt idx="76">
                  <c:v>1530.359424806298</c:v>
                </c:pt>
                <c:pt idx="77">
                  <c:v>1530.359424806298</c:v>
                </c:pt>
                <c:pt idx="78">
                  <c:v>1530.359424806298</c:v>
                </c:pt>
                <c:pt idx="79">
                  <c:v>1530.359424806298</c:v>
                </c:pt>
                <c:pt idx="80">
                  <c:v>1530.359424806298</c:v>
                </c:pt>
                <c:pt idx="81">
                  <c:v>1530.359424806298</c:v>
                </c:pt>
                <c:pt idx="82">
                  <c:v>1530.359424806298</c:v>
                </c:pt>
                <c:pt idx="83">
                  <c:v>1530.359424806298</c:v>
                </c:pt>
                <c:pt idx="84">
                  <c:v>1530.359424806298</c:v>
                </c:pt>
                <c:pt idx="85">
                  <c:v>1530.359424806298</c:v>
                </c:pt>
                <c:pt idx="86">
                  <c:v>1530.359424806298</c:v>
                </c:pt>
                <c:pt idx="87">
                  <c:v>1530.359424806298</c:v>
                </c:pt>
                <c:pt idx="88">
                  <c:v>1530.359424806298</c:v>
                </c:pt>
                <c:pt idx="89">
                  <c:v>1530.359424806298</c:v>
                </c:pt>
                <c:pt idx="90">
                  <c:v>1530.359424806298</c:v>
                </c:pt>
                <c:pt idx="91">
                  <c:v>1530.359424806298</c:v>
                </c:pt>
                <c:pt idx="92">
                  <c:v>1530.359424806298</c:v>
                </c:pt>
                <c:pt idx="93">
                  <c:v>1530.359424806298</c:v>
                </c:pt>
                <c:pt idx="94">
                  <c:v>1530.359424806298</c:v>
                </c:pt>
                <c:pt idx="95">
                  <c:v>1530.359424806298</c:v>
                </c:pt>
                <c:pt idx="96">
                  <c:v>1530.359424806298</c:v>
                </c:pt>
                <c:pt idx="97">
                  <c:v>1530.359424806298</c:v>
                </c:pt>
                <c:pt idx="98">
                  <c:v>1530.359424806298</c:v>
                </c:pt>
                <c:pt idx="99">
                  <c:v>1530.359424806298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711.2000000000001</c:v>
                </c:pt>
                <c:pt idx="1">
                  <c:v>711.2000000000001</c:v>
                </c:pt>
                <c:pt idx="2">
                  <c:v>711.2000000000001</c:v>
                </c:pt>
                <c:pt idx="3">
                  <c:v>711.2000000000001</c:v>
                </c:pt>
                <c:pt idx="4">
                  <c:v>711.2000000000001</c:v>
                </c:pt>
                <c:pt idx="5">
                  <c:v>711.2000000000001</c:v>
                </c:pt>
                <c:pt idx="6">
                  <c:v>711.2000000000001</c:v>
                </c:pt>
                <c:pt idx="7">
                  <c:v>711.2000000000001</c:v>
                </c:pt>
                <c:pt idx="8">
                  <c:v>711.2000000000001</c:v>
                </c:pt>
                <c:pt idx="9">
                  <c:v>711.2000000000001</c:v>
                </c:pt>
                <c:pt idx="10">
                  <c:v>711.2000000000001</c:v>
                </c:pt>
                <c:pt idx="11">
                  <c:v>711.2000000000001</c:v>
                </c:pt>
                <c:pt idx="12">
                  <c:v>711.2000000000001</c:v>
                </c:pt>
                <c:pt idx="13">
                  <c:v>711.2000000000001</c:v>
                </c:pt>
                <c:pt idx="14">
                  <c:v>711.2000000000001</c:v>
                </c:pt>
                <c:pt idx="15">
                  <c:v>711.2000000000001</c:v>
                </c:pt>
                <c:pt idx="16">
                  <c:v>711.2000000000001</c:v>
                </c:pt>
                <c:pt idx="17">
                  <c:v>711.2000000000001</c:v>
                </c:pt>
                <c:pt idx="18">
                  <c:v>711.2000000000001</c:v>
                </c:pt>
                <c:pt idx="19">
                  <c:v>711.2000000000001</c:v>
                </c:pt>
                <c:pt idx="20">
                  <c:v>711.2000000000001</c:v>
                </c:pt>
                <c:pt idx="21">
                  <c:v>711.2000000000001</c:v>
                </c:pt>
                <c:pt idx="22">
                  <c:v>711.2000000000001</c:v>
                </c:pt>
                <c:pt idx="23">
                  <c:v>711.2000000000001</c:v>
                </c:pt>
                <c:pt idx="24">
                  <c:v>711.2000000000001</c:v>
                </c:pt>
                <c:pt idx="25">
                  <c:v>760.6400000000001</c:v>
                </c:pt>
                <c:pt idx="26">
                  <c:v>859.5200000000002</c:v>
                </c:pt>
                <c:pt idx="27">
                  <c:v>958.4000000000001</c:v>
                </c:pt>
                <c:pt idx="28">
                  <c:v>1057.28</c:v>
                </c:pt>
                <c:pt idx="29">
                  <c:v>1156.16</c:v>
                </c:pt>
                <c:pt idx="30">
                  <c:v>1255.04</c:v>
                </c:pt>
                <c:pt idx="31">
                  <c:v>1353.92</c:v>
                </c:pt>
                <c:pt idx="32">
                  <c:v>1452.8</c:v>
                </c:pt>
                <c:pt idx="33">
                  <c:v>1551.68</c:v>
                </c:pt>
                <c:pt idx="34">
                  <c:v>1650.56</c:v>
                </c:pt>
                <c:pt idx="35">
                  <c:v>1749.44</c:v>
                </c:pt>
                <c:pt idx="36">
                  <c:v>1848.32</c:v>
                </c:pt>
                <c:pt idx="37">
                  <c:v>1947.2</c:v>
                </c:pt>
                <c:pt idx="38">
                  <c:v>2046.08</c:v>
                </c:pt>
                <c:pt idx="39">
                  <c:v>2144.96</c:v>
                </c:pt>
                <c:pt idx="40">
                  <c:v>2243.84</c:v>
                </c:pt>
                <c:pt idx="41">
                  <c:v>2342.72</c:v>
                </c:pt>
                <c:pt idx="42">
                  <c:v>2441.6</c:v>
                </c:pt>
                <c:pt idx="43">
                  <c:v>2540.48</c:v>
                </c:pt>
                <c:pt idx="44">
                  <c:v>2639.36</c:v>
                </c:pt>
                <c:pt idx="45">
                  <c:v>2738.24</c:v>
                </c:pt>
                <c:pt idx="46">
                  <c:v>2837.12</c:v>
                </c:pt>
                <c:pt idx="47">
                  <c:v>2936.0</c:v>
                </c:pt>
                <c:pt idx="48">
                  <c:v>3034.88</c:v>
                </c:pt>
                <c:pt idx="49">
                  <c:v>3133.76</c:v>
                </c:pt>
                <c:pt idx="50">
                  <c:v>24333.12</c:v>
                </c:pt>
                <c:pt idx="51">
                  <c:v>24333.12</c:v>
                </c:pt>
                <c:pt idx="52">
                  <c:v>24333.12</c:v>
                </c:pt>
                <c:pt idx="53">
                  <c:v>24333.12</c:v>
                </c:pt>
                <c:pt idx="54">
                  <c:v>24333.12</c:v>
                </c:pt>
                <c:pt idx="55">
                  <c:v>24333.12</c:v>
                </c:pt>
                <c:pt idx="56">
                  <c:v>24333.12</c:v>
                </c:pt>
                <c:pt idx="57">
                  <c:v>24333.12</c:v>
                </c:pt>
                <c:pt idx="58">
                  <c:v>24333.12</c:v>
                </c:pt>
                <c:pt idx="59">
                  <c:v>24333.12</c:v>
                </c:pt>
                <c:pt idx="60">
                  <c:v>24333.12</c:v>
                </c:pt>
                <c:pt idx="61">
                  <c:v>24333.12</c:v>
                </c:pt>
                <c:pt idx="62">
                  <c:v>24333.12</c:v>
                </c:pt>
                <c:pt idx="63">
                  <c:v>24333.12</c:v>
                </c:pt>
                <c:pt idx="64">
                  <c:v>24333.12</c:v>
                </c:pt>
                <c:pt idx="65">
                  <c:v>24333.12</c:v>
                </c:pt>
                <c:pt idx="66">
                  <c:v>24333.12</c:v>
                </c:pt>
                <c:pt idx="67">
                  <c:v>24333.12</c:v>
                </c:pt>
                <c:pt idx="68">
                  <c:v>24333.12</c:v>
                </c:pt>
                <c:pt idx="69">
                  <c:v>24333.12</c:v>
                </c:pt>
                <c:pt idx="70">
                  <c:v>24333.12</c:v>
                </c:pt>
                <c:pt idx="71">
                  <c:v>24333.12</c:v>
                </c:pt>
                <c:pt idx="72">
                  <c:v>24333.12</c:v>
                </c:pt>
                <c:pt idx="73">
                  <c:v>24333.12</c:v>
                </c:pt>
                <c:pt idx="74">
                  <c:v>24333.12</c:v>
                </c:pt>
                <c:pt idx="75">
                  <c:v>24333.12</c:v>
                </c:pt>
                <c:pt idx="76">
                  <c:v>24333.12</c:v>
                </c:pt>
                <c:pt idx="77">
                  <c:v>24333.12</c:v>
                </c:pt>
                <c:pt idx="78">
                  <c:v>24333.12</c:v>
                </c:pt>
                <c:pt idx="79">
                  <c:v>24333.12</c:v>
                </c:pt>
                <c:pt idx="80">
                  <c:v>24333.12</c:v>
                </c:pt>
                <c:pt idx="81">
                  <c:v>24333.12</c:v>
                </c:pt>
                <c:pt idx="82">
                  <c:v>24333.12</c:v>
                </c:pt>
                <c:pt idx="83">
                  <c:v>24333.12</c:v>
                </c:pt>
                <c:pt idx="84">
                  <c:v>24333.12</c:v>
                </c:pt>
                <c:pt idx="85">
                  <c:v>24333.12</c:v>
                </c:pt>
                <c:pt idx="86">
                  <c:v>24333.12</c:v>
                </c:pt>
                <c:pt idx="87">
                  <c:v>24333.12</c:v>
                </c:pt>
                <c:pt idx="88">
                  <c:v>24333.12</c:v>
                </c:pt>
                <c:pt idx="89">
                  <c:v>24333.12</c:v>
                </c:pt>
                <c:pt idx="90">
                  <c:v>24333.12</c:v>
                </c:pt>
                <c:pt idx="91">
                  <c:v>24333.12</c:v>
                </c:pt>
                <c:pt idx="92">
                  <c:v>24333.12</c:v>
                </c:pt>
                <c:pt idx="93">
                  <c:v>24333.12</c:v>
                </c:pt>
                <c:pt idx="94">
                  <c:v>24333.12</c:v>
                </c:pt>
                <c:pt idx="95">
                  <c:v>24333.12</c:v>
                </c:pt>
                <c:pt idx="96">
                  <c:v>24333.12</c:v>
                </c:pt>
                <c:pt idx="97">
                  <c:v>24333.12</c:v>
                </c:pt>
                <c:pt idx="98">
                  <c:v>24333.12</c:v>
                </c:pt>
                <c:pt idx="99">
                  <c:v>24333.12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716.8000000000001</c:v>
                </c:pt>
                <c:pt idx="1">
                  <c:v>716.8000000000001</c:v>
                </c:pt>
                <c:pt idx="2">
                  <c:v>716.8000000000001</c:v>
                </c:pt>
                <c:pt idx="3">
                  <c:v>716.8000000000001</c:v>
                </c:pt>
                <c:pt idx="4">
                  <c:v>716.8000000000001</c:v>
                </c:pt>
                <c:pt idx="5">
                  <c:v>716.8000000000001</c:v>
                </c:pt>
                <c:pt idx="6">
                  <c:v>716.8000000000001</c:v>
                </c:pt>
                <c:pt idx="7">
                  <c:v>716.8000000000001</c:v>
                </c:pt>
                <c:pt idx="8">
                  <c:v>716.8000000000001</c:v>
                </c:pt>
                <c:pt idx="9">
                  <c:v>716.8000000000001</c:v>
                </c:pt>
                <c:pt idx="10">
                  <c:v>716.8000000000001</c:v>
                </c:pt>
                <c:pt idx="11">
                  <c:v>716.8000000000001</c:v>
                </c:pt>
                <c:pt idx="12">
                  <c:v>716.8000000000001</c:v>
                </c:pt>
                <c:pt idx="13">
                  <c:v>716.8000000000001</c:v>
                </c:pt>
                <c:pt idx="14">
                  <c:v>716.8000000000001</c:v>
                </c:pt>
                <c:pt idx="15">
                  <c:v>716.8000000000001</c:v>
                </c:pt>
                <c:pt idx="16">
                  <c:v>716.8000000000001</c:v>
                </c:pt>
                <c:pt idx="17">
                  <c:v>716.8000000000001</c:v>
                </c:pt>
                <c:pt idx="18">
                  <c:v>716.8000000000001</c:v>
                </c:pt>
                <c:pt idx="19">
                  <c:v>716.8000000000001</c:v>
                </c:pt>
                <c:pt idx="20">
                  <c:v>716.8000000000001</c:v>
                </c:pt>
                <c:pt idx="21">
                  <c:v>716.8000000000001</c:v>
                </c:pt>
                <c:pt idx="22">
                  <c:v>716.8000000000001</c:v>
                </c:pt>
                <c:pt idx="23">
                  <c:v>716.8000000000001</c:v>
                </c:pt>
                <c:pt idx="24">
                  <c:v>716.8000000000001</c:v>
                </c:pt>
                <c:pt idx="25">
                  <c:v>716.8000000000001</c:v>
                </c:pt>
                <c:pt idx="26">
                  <c:v>716.8000000000001</c:v>
                </c:pt>
                <c:pt idx="27">
                  <c:v>716.8000000000001</c:v>
                </c:pt>
                <c:pt idx="28">
                  <c:v>716.8000000000001</c:v>
                </c:pt>
                <c:pt idx="29">
                  <c:v>716.8000000000001</c:v>
                </c:pt>
                <c:pt idx="30">
                  <c:v>716.8000000000001</c:v>
                </c:pt>
                <c:pt idx="31">
                  <c:v>716.8000000000001</c:v>
                </c:pt>
                <c:pt idx="32">
                  <c:v>716.8000000000001</c:v>
                </c:pt>
                <c:pt idx="33">
                  <c:v>716.8000000000001</c:v>
                </c:pt>
                <c:pt idx="34">
                  <c:v>716.8000000000001</c:v>
                </c:pt>
                <c:pt idx="35">
                  <c:v>716.8000000000001</c:v>
                </c:pt>
                <c:pt idx="36">
                  <c:v>716.8000000000001</c:v>
                </c:pt>
                <c:pt idx="37">
                  <c:v>716.8000000000001</c:v>
                </c:pt>
                <c:pt idx="38">
                  <c:v>716.8000000000001</c:v>
                </c:pt>
                <c:pt idx="39">
                  <c:v>716.8000000000001</c:v>
                </c:pt>
                <c:pt idx="40">
                  <c:v>716.8000000000001</c:v>
                </c:pt>
                <c:pt idx="41">
                  <c:v>716.8000000000001</c:v>
                </c:pt>
                <c:pt idx="42">
                  <c:v>716.8000000000001</c:v>
                </c:pt>
                <c:pt idx="43">
                  <c:v>716.8000000000001</c:v>
                </c:pt>
                <c:pt idx="44">
                  <c:v>716.8000000000001</c:v>
                </c:pt>
                <c:pt idx="45">
                  <c:v>716.8000000000001</c:v>
                </c:pt>
                <c:pt idx="46">
                  <c:v>716.8000000000001</c:v>
                </c:pt>
                <c:pt idx="47">
                  <c:v>716.8000000000001</c:v>
                </c:pt>
                <c:pt idx="48">
                  <c:v>716.8000000000001</c:v>
                </c:pt>
                <c:pt idx="49">
                  <c:v>716.8000000000001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6731.200000000001</c:v>
                </c:pt>
                <c:pt idx="1">
                  <c:v>6731.200000000001</c:v>
                </c:pt>
                <c:pt idx="2">
                  <c:v>6731.200000000001</c:v>
                </c:pt>
                <c:pt idx="3">
                  <c:v>6731.200000000001</c:v>
                </c:pt>
                <c:pt idx="4">
                  <c:v>6731.200000000001</c:v>
                </c:pt>
                <c:pt idx="5">
                  <c:v>6731.200000000001</c:v>
                </c:pt>
                <c:pt idx="6">
                  <c:v>6731.200000000001</c:v>
                </c:pt>
                <c:pt idx="7">
                  <c:v>6731.200000000001</c:v>
                </c:pt>
                <c:pt idx="8">
                  <c:v>6731.200000000001</c:v>
                </c:pt>
                <c:pt idx="9">
                  <c:v>6731.200000000001</c:v>
                </c:pt>
                <c:pt idx="10">
                  <c:v>6731.200000000001</c:v>
                </c:pt>
                <c:pt idx="11">
                  <c:v>6731.200000000001</c:v>
                </c:pt>
                <c:pt idx="12">
                  <c:v>6731.200000000001</c:v>
                </c:pt>
                <c:pt idx="13">
                  <c:v>6731.200000000001</c:v>
                </c:pt>
                <c:pt idx="14">
                  <c:v>6731.200000000001</c:v>
                </c:pt>
                <c:pt idx="15">
                  <c:v>6731.200000000001</c:v>
                </c:pt>
                <c:pt idx="16">
                  <c:v>6731.200000000001</c:v>
                </c:pt>
                <c:pt idx="17">
                  <c:v>6731.200000000001</c:v>
                </c:pt>
                <c:pt idx="18">
                  <c:v>6731.200000000001</c:v>
                </c:pt>
                <c:pt idx="19">
                  <c:v>6731.200000000001</c:v>
                </c:pt>
                <c:pt idx="20">
                  <c:v>6731.200000000001</c:v>
                </c:pt>
                <c:pt idx="21">
                  <c:v>6731.200000000001</c:v>
                </c:pt>
                <c:pt idx="22">
                  <c:v>6731.200000000001</c:v>
                </c:pt>
                <c:pt idx="23">
                  <c:v>6731.200000000001</c:v>
                </c:pt>
                <c:pt idx="24">
                  <c:v>6731.200000000001</c:v>
                </c:pt>
                <c:pt idx="25">
                  <c:v>6869.257142857144</c:v>
                </c:pt>
                <c:pt idx="26">
                  <c:v>7145.37142857143</c:v>
                </c:pt>
                <c:pt idx="27">
                  <c:v>7421.485714285715</c:v>
                </c:pt>
                <c:pt idx="28">
                  <c:v>7697.6</c:v>
                </c:pt>
                <c:pt idx="29">
                  <c:v>7973.714285714286</c:v>
                </c:pt>
                <c:pt idx="30">
                  <c:v>8249.828571428572</c:v>
                </c:pt>
                <c:pt idx="31">
                  <c:v>8525.942857142857</c:v>
                </c:pt>
                <c:pt idx="32">
                  <c:v>8802.057142857143</c:v>
                </c:pt>
                <c:pt idx="33">
                  <c:v>9078.17142857143</c:v>
                </c:pt>
                <c:pt idx="34">
                  <c:v>9354.285714285716</c:v>
                </c:pt>
                <c:pt idx="35">
                  <c:v>9630.400000000001</c:v>
                </c:pt>
                <c:pt idx="36">
                  <c:v>9906.514285714287</c:v>
                </c:pt>
                <c:pt idx="37">
                  <c:v>10182.62857142857</c:v>
                </c:pt>
                <c:pt idx="38">
                  <c:v>10458.74285714286</c:v>
                </c:pt>
                <c:pt idx="39">
                  <c:v>10734.85714285714</c:v>
                </c:pt>
                <c:pt idx="40">
                  <c:v>11010.97142857143</c:v>
                </c:pt>
                <c:pt idx="41">
                  <c:v>11287.08571428572</c:v>
                </c:pt>
                <c:pt idx="42">
                  <c:v>11563.2</c:v>
                </c:pt>
                <c:pt idx="43">
                  <c:v>11839.31428571429</c:v>
                </c:pt>
                <c:pt idx="44">
                  <c:v>12115.42857142857</c:v>
                </c:pt>
                <c:pt idx="45">
                  <c:v>12391.54285714286</c:v>
                </c:pt>
                <c:pt idx="46">
                  <c:v>12667.65714285714</c:v>
                </c:pt>
                <c:pt idx="47">
                  <c:v>12943.77142857143</c:v>
                </c:pt>
                <c:pt idx="48">
                  <c:v>13219.88571428572</c:v>
                </c:pt>
                <c:pt idx="49">
                  <c:v>13496.0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274176.0000000001</c:v>
                </c:pt>
                <c:pt idx="51">
                  <c:v>274176.0000000001</c:v>
                </c:pt>
                <c:pt idx="52">
                  <c:v>274176.0000000001</c:v>
                </c:pt>
                <c:pt idx="53">
                  <c:v>274176.0000000001</c:v>
                </c:pt>
                <c:pt idx="54">
                  <c:v>274176.0000000001</c:v>
                </c:pt>
                <c:pt idx="55">
                  <c:v>274176.0000000001</c:v>
                </c:pt>
                <c:pt idx="56">
                  <c:v>274176.0000000001</c:v>
                </c:pt>
                <c:pt idx="57">
                  <c:v>274176.0000000001</c:v>
                </c:pt>
                <c:pt idx="58">
                  <c:v>274176.0000000001</c:v>
                </c:pt>
                <c:pt idx="59">
                  <c:v>274176.0000000001</c:v>
                </c:pt>
                <c:pt idx="60">
                  <c:v>274176.0000000001</c:v>
                </c:pt>
                <c:pt idx="61">
                  <c:v>274176.0000000001</c:v>
                </c:pt>
                <c:pt idx="62">
                  <c:v>274176.0000000001</c:v>
                </c:pt>
                <c:pt idx="63">
                  <c:v>274176.0000000001</c:v>
                </c:pt>
                <c:pt idx="64">
                  <c:v>274176.0000000001</c:v>
                </c:pt>
                <c:pt idx="65">
                  <c:v>274176.0000000001</c:v>
                </c:pt>
                <c:pt idx="66">
                  <c:v>274176.0000000001</c:v>
                </c:pt>
                <c:pt idx="67">
                  <c:v>274176.0000000001</c:v>
                </c:pt>
                <c:pt idx="68">
                  <c:v>274176.0000000001</c:v>
                </c:pt>
                <c:pt idx="69">
                  <c:v>274176.0000000001</c:v>
                </c:pt>
                <c:pt idx="70">
                  <c:v>274176.0000000001</c:v>
                </c:pt>
                <c:pt idx="71">
                  <c:v>274176.0000000001</c:v>
                </c:pt>
                <c:pt idx="72">
                  <c:v>274176.0000000001</c:v>
                </c:pt>
                <c:pt idx="73">
                  <c:v>274176.0000000001</c:v>
                </c:pt>
                <c:pt idx="74">
                  <c:v>274176.0000000001</c:v>
                </c:pt>
                <c:pt idx="75">
                  <c:v>274176.0000000001</c:v>
                </c:pt>
                <c:pt idx="76">
                  <c:v>274176.0000000001</c:v>
                </c:pt>
                <c:pt idx="77">
                  <c:v>274176.0000000001</c:v>
                </c:pt>
                <c:pt idx="78">
                  <c:v>274176.0000000001</c:v>
                </c:pt>
                <c:pt idx="79">
                  <c:v>274176.0000000001</c:v>
                </c:pt>
                <c:pt idx="80">
                  <c:v>274176.0000000001</c:v>
                </c:pt>
                <c:pt idx="81">
                  <c:v>274176.0000000001</c:v>
                </c:pt>
                <c:pt idx="82">
                  <c:v>274176.0000000001</c:v>
                </c:pt>
                <c:pt idx="83">
                  <c:v>274176.0000000001</c:v>
                </c:pt>
                <c:pt idx="84">
                  <c:v>274176.0000000001</c:v>
                </c:pt>
                <c:pt idx="85">
                  <c:v>274176.0000000001</c:v>
                </c:pt>
                <c:pt idx="86">
                  <c:v>274176.0000000001</c:v>
                </c:pt>
                <c:pt idx="87">
                  <c:v>274176.0000000001</c:v>
                </c:pt>
                <c:pt idx="88">
                  <c:v>274176.0000000001</c:v>
                </c:pt>
                <c:pt idx="89">
                  <c:v>274176.0000000001</c:v>
                </c:pt>
                <c:pt idx="90">
                  <c:v>274176.0000000001</c:v>
                </c:pt>
                <c:pt idx="91">
                  <c:v>274176.0000000001</c:v>
                </c:pt>
                <c:pt idx="92">
                  <c:v>274176.0000000001</c:v>
                </c:pt>
                <c:pt idx="93">
                  <c:v>274176.0000000001</c:v>
                </c:pt>
                <c:pt idx="94">
                  <c:v>274176.0000000001</c:v>
                </c:pt>
                <c:pt idx="95">
                  <c:v>274176.0000000001</c:v>
                </c:pt>
                <c:pt idx="96">
                  <c:v>274176.0000000001</c:v>
                </c:pt>
                <c:pt idx="97">
                  <c:v>274176.0000000001</c:v>
                </c:pt>
                <c:pt idx="98">
                  <c:v>274176.0000000001</c:v>
                </c:pt>
                <c:pt idx="99">
                  <c:v>274176.0000000001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4032.0</c:v>
                </c:pt>
                <c:pt idx="1">
                  <c:v>4032.0</c:v>
                </c:pt>
                <c:pt idx="2">
                  <c:v>4032.0</c:v>
                </c:pt>
                <c:pt idx="3">
                  <c:v>4032.0</c:v>
                </c:pt>
                <c:pt idx="4">
                  <c:v>4032.0</c:v>
                </c:pt>
                <c:pt idx="5">
                  <c:v>4032.0</c:v>
                </c:pt>
                <c:pt idx="6">
                  <c:v>4032.0</c:v>
                </c:pt>
                <c:pt idx="7">
                  <c:v>4032.0</c:v>
                </c:pt>
                <c:pt idx="8">
                  <c:v>4032.0</c:v>
                </c:pt>
                <c:pt idx="9">
                  <c:v>4032.0</c:v>
                </c:pt>
                <c:pt idx="10">
                  <c:v>4032.0</c:v>
                </c:pt>
                <c:pt idx="11">
                  <c:v>4032.0</c:v>
                </c:pt>
                <c:pt idx="12">
                  <c:v>4032.0</c:v>
                </c:pt>
                <c:pt idx="13">
                  <c:v>4032.0</c:v>
                </c:pt>
                <c:pt idx="14">
                  <c:v>4032.0</c:v>
                </c:pt>
                <c:pt idx="15">
                  <c:v>4032.0</c:v>
                </c:pt>
                <c:pt idx="16">
                  <c:v>4032.0</c:v>
                </c:pt>
                <c:pt idx="17">
                  <c:v>4032.0</c:v>
                </c:pt>
                <c:pt idx="18">
                  <c:v>4032.0</c:v>
                </c:pt>
                <c:pt idx="19">
                  <c:v>4032.0</c:v>
                </c:pt>
                <c:pt idx="20">
                  <c:v>4032.0</c:v>
                </c:pt>
                <c:pt idx="21">
                  <c:v>4032.0</c:v>
                </c:pt>
                <c:pt idx="22">
                  <c:v>4032.0</c:v>
                </c:pt>
                <c:pt idx="23">
                  <c:v>4032.0</c:v>
                </c:pt>
                <c:pt idx="24">
                  <c:v>4032.0</c:v>
                </c:pt>
                <c:pt idx="25">
                  <c:v>4043.428571428572</c:v>
                </c:pt>
                <c:pt idx="26">
                  <c:v>4066.285714285715</c:v>
                </c:pt>
                <c:pt idx="27">
                  <c:v>4089.142857142858</c:v>
                </c:pt>
                <c:pt idx="28">
                  <c:v>4112.000000000001</c:v>
                </c:pt>
                <c:pt idx="29">
                  <c:v>4134.857142857143</c:v>
                </c:pt>
                <c:pt idx="30">
                  <c:v>4157.714285714286</c:v>
                </c:pt>
                <c:pt idx="31">
                  <c:v>4180.57142857143</c:v>
                </c:pt>
                <c:pt idx="32">
                  <c:v>4203.428571428572</c:v>
                </c:pt>
                <c:pt idx="33">
                  <c:v>4226.285714285715</c:v>
                </c:pt>
                <c:pt idx="34">
                  <c:v>4249.142857142858</c:v>
                </c:pt>
                <c:pt idx="35">
                  <c:v>4272.000000000001</c:v>
                </c:pt>
                <c:pt idx="36">
                  <c:v>4294.857142857143</c:v>
                </c:pt>
                <c:pt idx="37">
                  <c:v>4317.714285714286</c:v>
                </c:pt>
                <c:pt idx="38">
                  <c:v>4340.57142857143</c:v>
                </c:pt>
                <c:pt idx="39">
                  <c:v>4363.428571428572</c:v>
                </c:pt>
                <c:pt idx="40">
                  <c:v>4386.285714285715</c:v>
                </c:pt>
                <c:pt idx="41">
                  <c:v>4409.142857142858</c:v>
                </c:pt>
                <c:pt idx="42">
                  <c:v>4432.000000000001</c:v>
                </c:pt>
                <c:pt idx="43">
                  <c:v>4454.857142857144</c:v>
                </c:pt>
                <c:pt idx="44">
                  <c:v>4477.714285714286</c:v>
                </c:pt>
                <c:pt idx="45">
                  <c:v>4500.57142857143</c:v>
                </c:pt>
                <c:pt idx="46">
                  <c:v>4523.428571428572</c:v>
                </c:pt>
                <c:pt idx="47">
                  <c:v>4546.285714285716</c:v>
                </c:pt>
                <c:pt idx="48">
                  <c:v>4569.142857142858</c:v>
                </c:pt>
                <c:pt idx="49">
                  <c:v>4592.000000000001</c:v>
                </c:pt>
                <c:pt idx="50">
                  <c:v>8064.000000000003</c:v>
                </c:pt>
                <c:pt idx="51">
                  <c:v>8064.000000000003</c:v>
                </c:pt>
                <c:pt idx="52">
                  <c:v>8064.000000000003</c:v>
                </c:pt>
                <c:pt idx="53">
                  <c:v>8064.000000000003</c:v>
                </c:pt>
                <c:pt idx="54">
                  <c:v>8064.000000000003</c:v>
                </c:pt>
                <c:pt idx="55">
                  <c:v>8064.000000000003</c:v>
                </c:pt>
                <c:pt idx="56">
                  <c:v>8064.000000000003</c:v>
                </c:pt>
                <c:pt idx="57">
                  <c:v>8064.000000000003</c:v>
                </c:pt>
                <c:pt idx="58">
                  <c:v>8064.000000000003</c:v>
                </c:pt>
                <c:pt idx="59">
                  <c:v>8064.000000000003</c:v>
                </c:pt>
                <c:pt idx="60">
                  <c:v>8064.000000000003</c:v>
                </c:pt>
                <c:pt idx="61">
                  <c:v>8064.000000000003</c:v>
                </c:pt>
                <c:pt idx="62">
                  <c:v>8064.000000000003</c:v>
                </c:pt>
                <c:pt idx="63">
                  <c:v>8064.000000000003</c:v>
                </c:pt>
                <c:pt idx="64">
                  <c:v>8064.000000000003</c:v>
                </c:pt>
                <c:pt idx="65">
                  <c:v>8064.000000000003</c:v>
                </c:pt>
                <c:pt idx="66">
                  <c:v>8064.000000000003</c:v>
                </c:pt>
                <c:pt idx="67">
                  <c:v>8064.000000000003</c:v>
                </c:pt>
                <c:pt idx="68">
                  <c:v>8064.000000000003</c:v>
                </c:pt>
                <c:pt idx="69">
                  <c:v>8064.000000000003</c:v>
                </c:pt>
                <c:pt idx="70">
                  <c:v>8064.000000000003</c:v>
                </c:pt>
                <c:pt idx="71">
                  <c:v>8064.000000000003</c:v>
                </c:pt>
                <c:pt idx="72">
                  <c:v>8064.000000000003</c:v>
                </c:pt>
                <c:pt idx="73">
                  <c:v>8064.000000000003</c:v>
                </c:pt>
                <c:pt idx="74">
                  <c:v>8064.000000000003</c:v>
                </c:pt>
                <c:pt idx="75">
                  <c:v>8064.000000000003</c:v>
                </c:pt>
                <c:pt idx="76">
                  <c:v>8064.000000000003</c:v>
                </c:pt>
                <c:pt idx="77">
                  <c:v>8064.000000000003</c:v>
                </c:pt>
                <c:pt idx="78">
                  <c:v>8064.000000000003</c:v>
                </c:pt>
                <c:pt idx="79">
                  <c:v>8064.000000000003</c:v>
                </c:pt>
                <c:pt idx="80">
                  <c:v>8064.000000000003</c:v>
                </c:pt>
                <c:pt idx="81">
                  <c:v>8064.000000000003</c:v>
                </c:pt>
                <c:pt idx="82">
                  <c:v>8064.000000000003</c:v>
                </c:pt>
                <c:pt idx="83">
                  <c:v>8064.000000000003</c:v>
                </c:pt>
                <c:pt idx="84">
                  <c:v>8064.000000000003</c:v>
                </c:pt>
                <c:pt idx="85">
                  <c:v>8064.000000000003</c:v>
                </c:pt>
                <c:pt idx="86">
                  <c:v>8064.000000000003</c:v>
                </c:pt>
                <c:pt idx="87">
                  <c:v>8064.000000000003</c:v>
                </c:pt>
                <c:pt idx="88">
                  <c:v>8064.000000000003</c:v>
                </c:pt>
                <c:pt idx="89">
                  <c:v>8064.000000000003</c:v>
                </c:pt>
                <c:pt idx="90">
                  <c:v>8064.000000000003</c:v>
                </c:pt>
                <c:pt idx="91">
                  <c:v>8064.000000000003</c:v>
                </c:pt>
                <c:pt idx="92">
                  <c:v>8064.000000000003</c:v>
                </c:pt>
                <c:pt idx="93">
                  <c:v>8064.000000000003</c:v>
                </c:pt>
                <c:pt idx="94">
                  <c:v>8064.000000000003</c:v>
                </c:pt>
                <c:pt idx="95">
                  <c:v>8064.000000000003</c:v>
                </c:pt>
                <c:pt idx="96">
                  <c:v>8064.000000000003</c:v>
                </c:pt>
                <c:pt idx="97">
                  <c:v>8064.000000000003</c:v>
                </c:pt>
                <c:pt idx="98">
                  <c:v>8064.000000000003</c:v>
                </c:pt>
                <c:pt idx="99">
                  <c:v>8064.000000000003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19.2</c:v>
                </c:pt>
                <c:pt idx="26">
                  <c:v>57.6</c:v>
                </c:pt>
                <c:pt idx="27">
                  <c:v>96.0</c:v>
                </c:pt>
                <c:pt idx="28">
                  <c:v>134.4</c:v>
                </c:pt>
                <c:pt idx="29">
                  <c:v>172.8</c:v>
                </c:pt>
                <c:pt idx="30">
                  <c:v>211.2</c:v>
                </c:pt>
                <c:pt idx="31">
                  <c:v>249.6</c:v>
                </c:pt>
                <c:pt idx="32">
                  <c:v>288.0000000000001</c:v>
                </c:pt>
                <c:pt idx="33">
                  <c:v>326.4</c:v>
                </c:pt>
                <c:pt idx="34">
                  <c:v>364.8</c:v>
                </c:pt>
                <c:pt idx="35">
                  <c:v>403.2</c:v>
                </c:pt>
                <c:pt idx="36">
                  <c:v>441.6</c:v>
                </c:pt>
                <c:pt idx="37">
                  <c:v>480.0</c:v>
                </c:pt>
                <c:pt idx="38">
                  <c:v>518.4000000000001</c:v>
                </c:pt>
                <c:pt idx="39">
                  <c:v>556.8000000000001</c:v>
                </c:pt>
                <c:pt idx="40">
                  <c:v>595.2</c:v>
                </c:pt>
                <c:pt idx="41">
                  <c:v>633.6</c:v>
                </c:pt>
                <c:pt idx="42">
                  <c:v>672.0</c:v>
                </c:pt>
                <c:pt idx="43">
                  <c:v>710.4000000000001</c:v>
                </c:pt>
                <c:pt idx="44">
                  <c:v>748.8000000000001</c:v>
                </c:pt>
                <c:pt idx="45">
                  <c:v>787.2</c:v>
                </c:pt>
                <c:pt idx="46">
                  <c:v>825.6</c:v>
                </c:pt>
                <c:pt idx="47">
                  <c:v>864.0</c:v>
                </c:pt>
                <c:pt idx="48">
                  <c:v>902.4000000000001</c:v>
                </c:pt>
                <c:pt idx="49">
                  <c:v>940.8000000000001</c:v>
                </c:pt>
                <c:pt idx="50">
                  <c:v>19353.6</c:v>
                </c:pt>
                <c:pt idx="51">
                  <c:v>19353.6</c:v>
                </c:pt>
                <c:pt idx="52">
                  <c:v>19353.6</c:v>
                </c:pt>
                <c:pt idx="53">
                  <c:v>19353.6</c:v>
                </c:pt>
                <c:pt idx="54">
                  <c:v>19353.6</c:v>
                </c:pt>
                <c:pt idx="55">
                  <c:v>19353.6</c:v>
                </c:pt>
                <c:pt idx="56">
                  <c:v>19353.6</c:v>
                </c:pt>
                <c:pt idx="57">
                  <c:v>19353.6</c:v>
                </c:pt>
                <c:pt idx="58">
                  <c:v>19353.6</c:v>
                </c:pt>
                <c:pt idx="59">
                  <c:v>19353.6</c:v>
                </c:pt>
                <c:pt idx="60">
                  <c:v>19353.6</c:v>
                </c:pt>
                <c:pt idx="61">
                  <c:v>19353.6</c:v>
                </c:pt>
                <c:pt idx="62">
                  <c:v>19353.6</c:v>
                </c:pt>
                <c:pt idx="63">
                  <c:v>19353.6</c:v>
                </c:pt>
                <c:pt idx="64">
                  <c:v>19353.6</c:v>
                </c:pt>
                <c:pt idx="65">
                  <c:v>19353.6</c:v>
                </c:pt>
                <c:pt idx="66">
                  <c:v>19353.6</c:v>
                </c:pt>
                <c:pt idx="67">
                  <c:v>19353.6</c:v>
                </c:pt>
                <c:pt idx="68">
                  <c:v>19353.6</c:v>
                </c:pt>
                <c:pt idx="69">
                  <c:v>19353.6</c:v>
                </c:pt>
                <c:pt idx="70">
                  <c:v>19353.6</c:v>
                </c:pt>
                <c:pt idx="71">
                  <c:v>19353.6</c:v>
                </c:pt>
                <c:pt idx="72">
                  <c:v>19353.6</c:v>
                </c:pt>
                <c:pt idx="73">
                  <c:v>19353.6</c:v>
                </c:pt>
                <c:pt idx="74">
                  <c:v>19353.6</c:v>
                </c:pt>
                <c:pt idx="75">
                  <c:v>19353.6</c:v>
                </c:pt>
                <c:pt idx="76">
                  <c:v>19353.6</c:v>
                </c:pt>
                <c:pt idx="77">
                  <c:v>19353.6</c:v>
                </c:pt>
                <c:pt idx="78">
                  <c:v>19353.6</c:v>
                </c:pt>
                <c:pt idx="79">
                  <c:v>19353.6</c:v>
                </c:pt>
                <c:pt idx="80">
                  <c:v>19353.6</c:v>
                </c:pt>
                <c:pt idx="81">
                  <c:v>19353.6</c:v>
                </c:pt>
                <c:pt idx="82">
                  <c:v>19353.6</c:v>
                </c:pt>
                <c:pt idx="83">
                  <c:v>19353.6</c:v>
                </c:pt>
                <c:pt idx="84">
                  <c:v>19353.6</c:v>
                </c:pt>
                <c:pt idx="85">
                  <c:v>19353.6</c:v>
                </c:pt>
                <c:pt idx="86">
                  <c:v>19353.6</c:v>
                </c:pt>
                <c:pt idx="87">
                  <c:v>19353.6</c:v>
                </c:pt>
                <c:pt idx="88">
                  <c:v>19353.6</c:v>
                </c:pt>
                <c:pt idx="89">
                  <c:v>19353.6</c:v>
                </c:pt>
                <c:pt idx="90">
                  <c:v>19353.6</c:v>
                </c:pt>
                <c:pt idx="91">
                  <c:v>19353.6</c:v>
                </c:pt>
                <c:pt idx="92">
                  <c:v>19353.6</c:v>
                </c:pt>
                <c:pt idx="93">
                  <c:v>19353.6</c:v>
                </c:pt>
                <c:pt idx="94">
                  <c:v>19353.6</c:v>
                </c:pt>
                <c:pt idx="95">
                  <c:v>19353.6</c:v>
                </c:pt>
                <c:pt idx="96">
                  <c:v>19353.6</c:v>
                </c:pt>
                <c:pt idx="97">
                  <c:v>19353.6</c:v>
                </c:pt>
                <c:pt idx="98">
                  <c:v>19353.6</c:v>
                </c:pt>
                <c:pt idx="99">
                  <c:v>19353.6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666.2612884376946</c:v>
                </c:pt>
                <c:pt idx="1">
                  <c:v>666.2612884376946</c:v>
                </c:pt>
                <c:pt idx="2">
                  <c:v>666.2612884376946</c:v>
                </c:pt>
                <c:pt idx="3">
                  <c:v>666.2612884376946</c:v>
                </c:pt>
                <c:pt idx="4">
                  <c:v>666.2612884376946</c:v>
                </c:pt>
                <c:pt idx="5">
                  <c:v>666.2612884376946</c:v>
                </c:pt>
                <c:pt idx="6">
                  <c:v>666.2612884376946</c:v>
                </c:pt>
                <c:pt idx="7">
                  <c:v>666.2612884376946</c:v>
                </c:pt>
                <c:pt idx="8">
                  <c:v>666.2612884376946</c:v>
                </c:pt>
                <c:pt idx="9">
                  <c:v>666.2612884376946</c:v>
                </c:pt>
                <c:pt idx="10">
                  <c:v>666.2612884376946</c:v>
                </c:pt>
                <c:pt idx="11">
                  <c:v>666.2612884376946</c:v>
                </c:pt>
                <c:pt idx="12">
                  <c:v>666.2612884376946</c:v>
                </c:pt>
                <c:pt idx="13">
                  <c:v>666.2612884376946</c:v>
                </c:pt>
                <c:pt idx="14">
                  <c:v>666.2612884376946</c:v>
                </c:pt>
                <c:pt idx="15">
                  <c:v>666.2612884376946</c:v>
                </c:pt>
                <c:pt idx="16">
                  <c:v>666.2612884376946</c:v>
                </c:pt>
                <c:pt idx="17">
                  <c:v>666.2612884376946</c:v>
                </c:pt>
                <c:pt idx="18">
                  <c:v>666.2612884376946</c:v>
                </c:pt>
                <c:pt idx="19">
                  <c:v>666.2612884376946</c:v>
                </c:pt>
                <c:pt idx="20">
                  <c:v>666.2612884376946</c:v>
                </c:pt>
                <c:pt idx="21">
                  <c:v>666.2612884376946</c:v>
                </c:pt>
                <c:pt idx="22">
                  <c:v>666.2612884376946</c:v>
                </c:pt>
                <c:pt idx="23">
                  <c:v>666.2612884376946</c:v>
                </c:pt>
                <c:pt idx="24">
                  <c:v>666.2612884376946</c:v>
                </c:pt>
                <c:pt idx="25">
                  <c:v>666.0124513551782</c:v>
                </c:pt>
                <c:pt idx="26">
                  <c:v>665.5147771901453</c:v>
                </c:pt>
                <c:pt idx="27">
                  <c:v>665.0171030251125</c:v>
                </c:pt>
                <c:pt idx="28">
                  <c:v>664.5194288600798</c:v>
                </c:pt>
                <c:pt idx="29">
                  <c:v>664.0217546950469</c:v>
                </c:pt>
                <c:pt idx="30">
                  <c:v>663.524080530014</c:v>
                </c:pt>
                <c:pt idx="31">
                  <c:v>663.0264063649812</c:v>
                </c:pt>
                <c:pt idx="32">
                  <c:v>662.5287321999484</c:v>
                </c:pt>
                <c:pt idx="33">
                  <c:v>662.0310580349156</c:v>
                </c:pt>
                <c:pt idx="34">
                  <c:v>661.5333838698827</c:v>
                </c:pt>
                <c:pt idx="35">
                  <c:v>661.03570970485</c:v>
                </c:pt>
                <c:pt idx="36">
                  <c:v>660.538035539817</c:v>
                </c:pt>
                <c:pt idx="37">
                  <c:v>660.0403613747843</c:v>
                </c:pt>
                <c:pt idx="38">
                  <c:v>659.5426872097514</c:v>
                </c:pt>
                <c:pt idx="39">
                  <c:v>659.0450130447186</c:v>
                </c:pt>
                <c:pt idx="40">
                  <c:v>658.5473388796858</c:v>
                </c:pt>
                <c:pt idx="41">
                  <c:v>658.049664714653</c:v>
                </c:pt>
                <c:pt idx="42">
                  <c:v>657.5519905496201</c:v>
                </c:pt>
                <c:pt idx="43">
                  <c:v>657.0543163845873</c:v>
                </c:pt>
                <c:pt idx="44">
                  <c:v>656.5566422195545</c:v>
                </c:pt>
                <c:pt idx="45">
                  <c:v>656.0589680545218</c:v>
                </c:pt>
                <c:pt idx="46">
                  <c:v>655.5612938894889</c:v>
                </c:pt>
                <c:pt idx="47">
                  <c:v>655.0636197244561</c:v>
                </c:pt>
                <c:pt idx="48">
                  <c:v>654.5659455594232</c:v>
                </c:pt>
                <c:pt idx="49">
                  <c:v>654.0682713943904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22378.61731098187</c:v>
                </c:pt>
                <c:pt idx="1">
                  <c:v>22378.61731098187</c:v>
                </c:pt>
                <c:pt idx="2">
                  <c:v>22378.61731098187</c:v>
                </c:pt>
                <c:pt idx="3">
                  <c:v>22378.61731098187</c:v>
                </c:pt>
                <c:pt idx="4">
                  <c:v>22378.61731098187</c:v>
                </c:pt>
                <c:pt idx="5">
                  <c:v>22378.61731098187</c:v>
                </c:pt>
                <c:pt idx="6">
                  <c:v>22378.61731098187</c:v>
                </c:pt>
                <c:pt idx="7">
                  <c:v>22378.61731098187</c:v>
                </c:pt>
                <c:pt idx="8">
                  <c:v>22378.61731098187</c:v>
                </c:pt>
                <c:pt idx="9">
                  <c:v>22378.61731098187</c:v>
                </c:pt>
                <c:pt idx="10">
                  <c:v>22378.61731098187</c:v>
                </c:pt>
                <c:pt idx="11">
                  <c:v>22378.61731098187</c:v>
                </c:pt>
                <c:pt idx="12">
                  <c:v>22378.61731098187</c:v>
                </c:pt>
                <c:pt idx="13">
                  <c:v>22378.61731098187</c:v>
                </c:pt>
                <c:pt idx="14">
                  <c:v>22378.61731098187</c:v>
                </c:pt>
                <c:pt idx="15">
                  <c:v>22378.61731098187</c:v>
                </c:pt>
                <c:pt idx="16">
                  <c:v>22378.61731098187</c:v>
                </c:pt>
                <c:pt idx="17">
                  <c:v>22378.61731098187</c:v>
                </c:pt>
                <c:pt idx="18">
                  <c:v>22378.61731098187</c:v>
                </c:pt>
                <c:pt idx="19">
                  <c:v>22378.61731098187</c:v>
                </c:pt>
                <c:pt idx="20">
                  <c:v>22378.61731098187</c:v>
                </c:pt>
                <c:pt idx="21">
                  <c:v>22378.61731098187</c:v>
                </c:pt>
                <c:pt idx="22">
                  <c:v>22378.61731098187</c:v>
                </c:pt>
                <c:pt idx="23">
                  <c:v>22378.61731098187</c:v>
                </c:pt>
                <c:pt idx="24">
                  <c:v>22378.61731098187</c:v>
                </c:pt>
                <c:pt idx="25">
                  <c:v>22378.61731098187</c:v>
                </c:pt>
                <c:pt idx="26">
                  <c:v>22378.61731098187</c:v>
                </c:pt>
                <c:pt idx="27">
                  <c:v>22378.61731098187</c:v>
                </c:pt>
                <c:pt idx="28">
                  <c:v>22378.61731098187</c:v>
                </c:pt>
                <c:pt idx="29">
                  <c:v>22378.61731098187</c:v>
                </c:pt>
                <c:pt idx="30">
                  <c:v>22378.61731098187</c:v>
                </c:pt>
                <c:pt idx="31">
                  <c:v>22378.61731098187</c:v>
                </c:pt>
                <c:pt idx="32">
                  <c:v>22378.61731098187</c:v>
                </c:pt>
                <c:pt idx="33">
                  <c:v>22378.61731098187</c:v>
                </c:pt>
                <c:pt idx="34">
                  <c:v>22378.61731098187</c:v>
                </c:pt>
                <c:pt idx="35">
                  <c:v>22378.61731098187</c:v>
                </c:pt>
                <c:pt idx="36">
                  <c:v>22378.61731098187</c:v>
                </c:pt>
                <c:pt idx="37">
                  <c:v>22378.61731098187</c:v>
                </c:pt>
                <c:pt idx="38">
                  <c:v>22378.61731098187</c:v>
                </c:pt>
                <c:pt idx="39">
                  <c:v>22378.61731098187</c:v>
                </c:pt>
                <c:pt idx="40">
                  <c:v>22378.61731098187</c:v>
                </c:pt>
                <c:pt idx="41">
                  <c:v>22378.61731098187</c:v>
                </c:pt>
                <c:pt idx="42">
                  <c:v>22378.61731098187</c:v>
                </c:pt>
                <c:pt idx="43">
                  <c:v>22378.61731098187</c:v>
                </c:pt>
                <c:pt idx="44">
                  <c:v>22378.61731098187</c:v>
                </c:pt>
                <c:pt idx="45">
                  <c:v>22378.61731098187</c:v>
                </c:pt>
                <c:pt idx="46">
                  <c:v>22378.61731098187</c:v>
                </c:pt>
                <c:pt idx="47">
                  <c:v>22378.61731098187</c:v>
                </c:pt>
                <c:pt idx="48">
                  <c:v>22378.61731098187</c:v>
                </c:pt>
                <c:pt idx="49">
                  <c:v>22378.61731098187</c:v>
                </c:pt>
                <c:pt idx="50">
                  <c:v>10858.07392405063</c:v>
                </c:pt>
                <c:pt idx="51">
                  <c:v>10858.07392405063</c:v>
                </c:pt>
                <c:pt idx="52">
                  <c:v>10858.07392405063</c:v>
                </c:pt>
                <c:pt idx="53">
                  <c:v>10858.07392405063</c:v>
                </c:pt>
                <c:pt idx="54">
                  <c:v>10858.07392405063</c:v>
                </c:pt>
                <c:pt idx="55">
                  <c:v>10858.07392405063</c:v>
                </c:pt>
                <c:pt idx="56">
                  <c:v>10858.07392405063</c:v>
                </c:pt>
                <c:pt idx="57">
                  <c:v>10858.07392405063</c:v>
                </c:pt>
                <c:pt idx="58">
                  <c:v>10858.07392405063</c:v>
                </c:pt>
                <c:pt idx="59">
                  <c:v>10858.07392405063</c:v>
                </c:pt>
                <c:pt idx="60">
                  <c:v>10858.07392405063</c:v>
                </c:pt>
                <c:pt idx="61">
                  <c:v>10858.07392405063</c:v>
                </c:pt>
                <c:pt idx="62">
                  <c:v>10858.07392405063</c:v>
                </c:pt>
                <c:pt idx="63">
                  <c:v>10858.07392405063</c:v>
                </c:pt>
                <c:pt idx="64">
                  <c:v>10858.07392405063</c:v>
                </c:pt>
                <c:pt idx="65">
                  <c:v>10858.07392405063</c:v>
                </c:pt>
                <c:pt idx="66">
                  <c:v>10858.07392405063</c:v>
                </c:pt>
                <c:pt idx="67">
                  <c:v>10858.07392405063</c:v>
                </c:pt>
                <c:pt idx="68">
                  <c:v>10858.07392405063</c:v>
                </c:pt>
                <c:pt idx="69">
                  <c:v>10858.07392405063</c:v>
                </c:pt>
                <c:pt idx="70">
                  <c:v>10858.07392405063</c:v>
                </c:pt>
                <c:pt idx="71">
                  <c:v>10858.07392405063</c:v>
                </c:pt>
                <c:pt idx="72">
                  <c:v>10858.07392405063</c:v>
                </c:pt>
                <c:pt idx="73">
                  <c:v>10858.07392405063</c:v>
                </c:pt>
                <c:pt idx="74">
                  <c:v>10858.07392405063</c:v>
                </c:pt>
                <c:pt idx="75">
                  <c:v>10858.07392405063</c:v>
                </c:pt>
                <c:pt idx="76">
                  <c:v>10858.07392405063</c:v>
                </c:pt>
                <c:pt idx="77">
                  <c:v>10858.07392405063</c:v>
                </c:pt>
                <c:pt idx="78">
                  <c:v>10858.07392405063</c:v>
                </c:pt>
                <c:pt idx="79">
                  <c:v>10858.07392405063</c:v>
                </c:pt>
                <c:pt idx="80">
                  <c:v>10858.07392405063</c:v>
                </c:pt>
                <c:pt idx="81">
                  <c:v>10858.07392405063</c:v>
                </c:pt>
                <c:pt idx="82">
                  <c:v>10858.07392405063</c:v>
                </c:pt>
                <c:pt idx="83">
                  <c:v>10858.07392405063</c:v>
                </c:pt>
                <c:pt idx="84">
                  <c:v>10858.07392405063</c:v>
                </c:pt>
                <c:pt idx="85">
                  <c:v>10858.07392405063</c:v>
                </c:pt>
                <c:pt idx="86">
                  <c:v>10858.07392405063</c:v>
                </c:pt>
                <c:pt idx="87">
                  <c:v>10858.07392405063</c:v>
                </c:pt>
                <c:pt idx="88">
                  <c:v>10858.07392405063</c:v>
                </c:pt>
                <c:pt idx="89">
                  <c:v>10858.07392405063</c:v>
                </c:pt>
                <c:pt idx="90">
                  <c:v>10858.07392405063</c:v>
                </c:pt>
                <c:pt idx="91">
                  <c:v>10858.07392405063</c:v>
                </c:pt>
                <c:pt idx="92">
                  <c:v>10858.07392405063</c:v>
                </c:pt>
                <c:pt idx="93">
                  <c:v>10858.07392405063</c:v>
                </c:pt>
                <c:pt idx="94">
                  <c:v>10858.07392405063</c:v>
                </c:pt>
                <c:pt idx="95">
                  <c:v>10858.07392405063</c:v>
                </c:pt>
                <c:pt idx="96">
                  <c:v>10858.07392405063</c:v>
                </c:pt>
                <c:pt idx="97">
                  <c:v>10858.07392405063</c:v>
                </c:pt>
                <c:pt idx="98">
                  <c:v>10858.07392405063</c:v>
                </c:pt>
                <c:pt idx="99">
                  <c:v>10858.07392405063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2688.0</c:v>
                </c:pt>
                <c:pt idx="1">
                  <c:v>2688.0</c:v>
                </c:pt>
                <c:pt idx="2">
                  <c:v>2688.0</c:v>
                </c:pt>
                <c:pt idx="3">
                  <c:v>2688.0</c:v>
                </c:pt>
                <c:pt idx="4">
                  <c:v>2688.0</c:v>
                </c:pt>
                <c:pt idx="5">
                  <c:v>2688.0</c:v>
                </c:pt>
                <c:pt idx="6">
                  <c:v>2688.0</c:v>
                </c:pt>
                <c:pt idx="7">
                  <c:v>2688.0</c:v>
                </c:pt>
                <c:pt idx="8">
                  <c:v>2688.0</c:v>
                </c:pt>
                <c:pt idx="9">
                  <c:v>2688.0</c:v>
                </c:pt>
                <c:pt idx="10">
                  <c:v>2688.0</c:v>
                </c:pt>
                <c:pt idx="11">
                  <c:v>2688.0</c:v>
                </c:pt>
                <c:pt idx="12">
                  <c:v>2688.0</c:v>
                </c:pt>
                <c:pt idx="13">
                  <c:v>2688.0</c:v>
                </c:pt>
                <c:pt idx="14">
                  <c:v>2688.0</c:v>
                </c:pt>
                <c:pt idx="15">
                  <c:v>2688.0</c:v>
                </c:pt>
                <c:pt idx="16">
                  <c:v>2688.0</c:v>
                </c:pt>
                <c:pt idx="17">
                  <c:v>2688.0</c:v>
                </c:pt>
                <c:pt idx="18">
                  <c:v>2688.0</c:v>
                </c:pt>
                <c:pt idx="19">
                  <c:v>2688.0</c:v>
                </c:pt>
                <c:pt idx="20">
                  <c:v>2688.0</c:v>
                </c:pt>
                <c:pt idx="21">
                  <c:v>2688.0</c:v>
                </c:pt>
                <c:pt idx="22">
                  <c:v>2688.0</c:v>
                </c:pt>
                <c:pt idx="23">
                  <c:v>2688.0</c:v>
                </c:pt>
                <c:pt idx="24">
                  <c:v>2688.0</c:v>
                </c:pt>
                <c:pt idx="25">
                  <c:v>2715.428571428572</c:v>
                </c:pt>
                <c:pt idx="26">
                  <c:v>2770.285714285715</c:v>
                </c:pt>
                <c:pt idx="27">
                  <c:v>2825.142857142858</c:v>
                </c:pt>
                <c:pt idx="28">
                  <c:v>2880.0</c:v>
                </c:pt>
                <c:pt idx="29">
                  <c:v>2934.857142857143</c:v>
                </c:pt>
                <c:pt idx="30">
                  <c:v>2989.714285714286</c:v>
                </c:pt>
                <c:pt idx="31">
                  <c:v>3044.571428571428</c:v>
                </c:pt>
                <c:pt idx="32">
                  <c:v>3099.428571428572</c:v>
                </c:pt>
                <c:pt idx="33">
                  <c:v>3154.285714285715</c:v>
                </c:pt>
                <c:pt idx="34">
                  <c:v>3209.142857142858</c:v>
                </c:pt>
                <c:pt idx="35">
                  <c:v>3264.0</c:v>
                </c:pt>
                <c:pt idx="36">
                  <c:v>3318.857142857143</c:v>
                </c:pt>
                <c:pt idx="37">
                  <c:v>3373.714285714286</c:v>
                </c:pt>
                <c:pt idx="38">
                  <c:v>3428.571428571428</c:v>
                </c:pt>
                <c:pt idx="39">
                  <c:v>3483.428571428572</c:v>
                </c:pt>
                <c:pt idx="40">
                  <c:v>3538.285714285715</c:v>
                </c:pt>
                <c:pt idx="41">
                  <c:v>3593.142857142858</c:v>
                </c:pt>
                <c:pt idx="42">
                  <c:v>3648.0</c:v>
                </c:pt>
                <c:pt idx="43">
                  <c:v>3702.857142857143</c:v>
                </c:pt>
                <c:pt idx="44">
                  <c:v>3757.714285714286</c:v>
                </c:pt>
                <c:pt idx="45">
                  <c:v>3812.57142857143</c:v>
                </c:pt>
                <c:pt idx="46">
                  <c:v>3867.428571428572</c:v>
                </c:pt>
                <c:pt idx="47">
                  <c:v>3922.285714285715</c:v>
                </c:pt>
                <c:pt idx="48">
                  <c:v>3977.142857142858</c:v>
                </c:pt>
                <c:pt idx="49">
                  <c:v>4032.0</c:v>
                </c:pt>
                <c:pt idx="50">
                  <c:v>48384.00000000001</c:v>
                </c:pt>
                <c:pt idx="51">
                  <c:v>48384.00000000001</c:v>
                </c:pt>
                <c:pt idx="52">
                  <c:v>48384.00000000001</c:v>
                </c:pt>
                <c:pt idx="53">
                  <c:v>48384.00000000001</c:v>
                </c:pt>
                <c:pt idx="54">
                  <c:v>48384.00000000001</c:v>
                </c:pt>
                <c:pt idx="55">
                  <c:v>48384.00000000001</c:v>
                </c:pt>
                <c:pt idx="56">
                  <c:v>48384.00000000001</c:v>
                </c:pt>
                <c:pt idx="57">
                  <c:v>48384.00000000001</c:v>
                </c:pt>
                <c:pt idx="58">
                  <c:v>48384.00000000001</c:v>
                </c:pt>
                <c:pt idx="59">
                  <c:v>48384.00000000001</c:v>
                </c:pt>
                <c:pt idx="60">
                  <c:v>48384.00000000001</c:v>
                </c:pt>
                <c:pt idx="61">
                  <c:v>48384.00000000001</c:v>
                </c:pt>
                <c:pt idx="62">
                  <c:v>48384.00000000001</c:v>
                </c:pt>
                <c:pt idx="63">
                  <c:v>48384.00000000001</c:v>
                </c:pt>
                <c:pt idx="64">
                  <c:v>48384.00000000001</c:v>
                </c:pt>
                <c:pt idx="65">
                  <c:v>48384.00000000001</c:v>
                </c:pt>
                <c:pt idx="66">
                  <c:v>48384.00000000001</c:v>
                </c:pt>
                <c:pt idx="67">
                  <c:v>48384.00000000001</c:v>
                </c:pt>
                <c:pt idx="68">
                  <c:v>48384.00000000001</c:v>
                </c:pt>
                <c:pt idx="69">
                  <c:v>48384.00000000001</c:v>
                </c:pt>
                <c:pt idx="70">
                  <c:v>48384.00000000001</c:v>
                </c:pt>
                <c:pt idx="71">
                  <c:v>48384.00000000001</c:v>
                </c:pt>
                <c:pt idx="72">
                  <c:v>48384.00000000001</c:v>
                </c:pt>
                <c:pt idx="73">
                  <c:v>48384.00000000001</c:v>
                </c:pt>
                <c:pt idx="74">
                  <c:v>48384.00000000001</c:v>
                </c:pt>
                <c:pt idx="75">
                  <c:v>48384.00000000001</c:v>
                </c:pt>
                <c:pt idx="76">
                  <c:v>48384.00000000001</c:v>
                </c:pt>
                <c:pt idx="77">
                  <c:v>48384.00000000001</c:v>
                </c:pt>
                <c:pt idx="78">
                  <c:v>48384.00000000001</c:v>
                </c:pt>
                <c:pt idx="79">
                  <c:v>48384.00000000001</c:v>
                </c:pt>
                <c:pt idx="80">
                  <c:v>48384.00000000001</c:v>
                </c:pt>
                <c:pt idx="81">
                  <c:v>48384.00000000001</c:v>
                </c:pt>
                <c:pt idx="82">
                  <c:v>48384.00000000001</c:v>
                </c:pt>
                <c:pt idx="83">
                  <c:v>48384.00000000001</c:v>
                </c:pt>
                <c:pt idx="84">
                  <c:v>48384.00000000001</c:v>
                </c:pt>
                <c:pt idx="85">
                  <c:v>48384.00000000001</c:v>
                </c:pt>
                <c:pt idx="86">
                  <c:v>48384.00000000001</c:v>
                </c:pt>
                <c:pt idx="87">
                  <c:v>48384.00000000001</c:v>
                </c:pt>
                <c:pt idx="88">
                  <c:v>48384.00000000001</c:v>
                </c:pt>
                <c:pt idx="89">
                  <c:v>48384.00000000001</c:v>
                </c:pt>
                <c:pt idx="90">
                  <c:v>48384.00000000001</c:v>
                </c:pt>
                <c:pt idx="91">
                  <c:v>48384.00000000001</c:v>
                </c:pt>
                <c:pt idx="92">
                  <c:v>48384.00000000001</c:v>
                </c:pt>
                <c:pt idx="93">
                  <c:v>48384.00000000001</c:v>
                </c:pt>
                <c:pt idx="94">
                  <c:v>48384.00000000001</c:v>
                </c:pt>
                <c:pt idx="95">
                  <c:v>48384.00000000001</c:v>
                </c:pt>
                <c:pt idx="96">
                  <c:v>48384.00000000001</c:v>
                </c:pt>
                <c:pt idx="97">
                  <c:v>48384.00000000001</c:v>
                </c:pt>
                <c:pt idx="98">
                  <c:v>48384.00000000001</c:v>
                </c:pt>
                <c:pt idx="99">
                  <c:v>48384.00000000001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1465496"/>
        <c:axId val="2141460872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18678.90446395996</c:v>
                </c:pt>
                <c:pt idx="1">
                  <c:v>18678.90446395996</c:v>
                </c:pt>
                <c:pt idx="2">
                  <c:v>18678.90446395996</c:v>
                </c:pt>
                <c:pt idx="3">
                  <c:v>18678.90446395996</c:v>
                </c:pt>
                <c:pt idx="4">
                  <c:v>18678.90446395996</c:v>
                </c:pt>
                <c:pt idx="5">
                  <c:v>18678.90446395996</c:v>
                </c:pt>
                <c:pt idx="6">
                  <c:v>18678.90446395996</c:v>
                </c:pt>
                <c:pt idx="7">
                  <c:v>18678.90446395996</c:v>
                </c:pt>
                <c:pt idx="8">
                  <c:v>18678.90446395996</c:v>
                </c:pt>
                <c:pt idx="9">
                  <c:v>18678.90446395996</c:v>
                </c:pt>
                <c:pt idx="10">
                  <c:v>18678.90446395996</c:v>
                </c:pt>
                <c:pt idx="11">
                  <c:v>18678.90446395996</c:v>
                </c:pt>
                <c:pt idx="12">
                  <c:v>18678.90446395996</c:v>
                </c:pt>
                <c:pt idx="13">
                  <c:v>18678.90446395996</c:v>
                </c:pt>
                <c:pt idx="14">
                  <c:v>18678.90446395996</c:v>
                </c:pt>
                <c:pt idx="15">
                  <c:v>18678.90446395996</c:v>
                </c:pt>
                <c:pt idx="16">
                  <c:v>18678.90446395996</c:v>
                </c:pt>
                <c:pt idx="17">
                  <c:v>18678.90446395996</c:v>
                </c:pt>
                <c:pt idx="18">
                  <c:v>18678.90446395996</c:v>
                </c:pt>
                <c:pt idx="19">
                  <c:v>18678.90446395996</c:v>
                </c:pt>
                <c:pt idx="20">
                  <c:v>18678.90446395996</c:v>
                </c:pt>
                <c:pt idx="21">
                  <c:v>18678.90446395996</c:v>
                </c:pt>
                <c:pt idx="22">
                  <c:v>18678.90446395996</c:v>
                </c:pt>
                <c:pt idx="23">
                  <c:v>18678.90446395996</c:v>
                </c:pt>
                <c:pt idx="24">
                  <c:v>18678.90446395996</c:v>
                </c:pt>
                <c:pt idx="25">
                  <c:v>18678.90446395996</c:v>
                </c:pt>
                <c:pt idx="26">
                  <c:v>18678.90446395996</c:v>
                </c:pt>
                <c:pt idx="27">
                  <c:v>18678.90446395996</c:v>
                </c:pt>
                <c:pt idx="28">
                  <c:v>18678.90446395996</c:v>
                </c:pt>
                <c:pt idx="29">
                  <c:v>18678.90446395996</c:v>
                </c:pt>
                <c:pt idx="30">
                  <c:v>18678.90446395996</c:v>
                </c:pt>
                <c:pt idx="31">
                  <c:v>18678.90446395996</c:v>
                </c:pt>
                <c:pt idx="32">
                  <c:v>18678.90446395996</c:v>
                </c:pt>
                <c:pt idx="33">
                  <c:v>18678.90446395996</c:v>
                </c:pt>
                <c:pt idx="34">
                  <c:v>18678.90446395996</c:v>
                </c:pt>
                <c:pt idx="35">
                  <c:v>18678.90446395996</c:v>
                </c:pt>
                <c:pt idx="36">
                  <c:v>18678.90446395996</c:v>
                </c:pt>
                <c:pt idx="37">
                  <c:v>18678.90446395996</c:v>
                </c:pt>
                <c:pt idx="38">
                  <c:v>18678.90446395996</c:v>
                </c:pt>
                <c:pt idx="39">
                  <c:v>18678.90446395996</c:v>
                </c:pt>
                <c:pt idx="40">
                  <c:v>18678.90446395996</c:v>
                </c:pt>
                <c:pt idx="41">
                  <c:v>18678.90446395996</c:v>
                </c:pt>
                <c:pt idx="42">
                  <c:v>18678.90446395996</c:v>
                </c:pt>
                <c:pt idx="43">
                  <c:v>18678.90446395996</c:v>
                </c:pt>
                <c:pt idx="44">
                  <c:v>18678.90446395996</c:v>
                </c:pt>
                <c:pt idx="45">
                  <c:v>18678.90446395996</c:v>
                </c:pt>
                <c:pt idx="46">
                  <c:v>18678.90446395996</c:v>
                </c:pt>
                <c:pt idx="47">
                  <c:v>18678.90446395996</c:v>
                </c:pt>
                <c:pt idx="48">
                  <c:v>18678.90446395996</c:v>
                </c:pt>
                <c:pt idx="49">
                  <c:v>18678.90446395997</c:v>
                </c:pt>
                <c:pt idx="50">
                  <c:v>18678.90446395997</c:v>
                </c:pt>
                <c:pt idx="51">
                  <c:v>18678.90446395997</c:v>
                </c:pt>
                <c:pt idx="52">
                  <c:v>18678.90446395997</c:v>
                </c:pt>
                <c:pt idx="53">
                  <c:v>18678.90446395997</c:v>
                </c:pt>
                <c:pt idx="54">
                  <c:v>18678.90446395997</c:v>
                </c:pt>
                <c:pt idx="55">
                  <c:v>18678.90446395997</c:v>
                </c:pt>
                <c:pt idx="56">
                  <c:v>18678.90446395997</c:v>
                </c:pt>
                <c:pt idx="57">
                  <c:v>18678.90446395997</c:v>
                </c:pt>
                <c:pt idx="58">
                  <c:v>18678.90446395997</c:v>
                </c:pt>
                <c:pt idx="59">
                  <c:v>18678.90446395997</c:v>
                </c:pt>
                <c:pt idx="60">
                  <c:v>18678.90446395997</c:v>
                </c:pt>
                <c:pt idx="61">
                  <c:v>18678.90446395997</c:v>
                </c:pt>
                <c:pt idx="62">
                  <c:v>18678.90446395997</c:v>
                </c:pt>
                <c:pt idx="63">
                  <c:v>18678.90446395997</c:v>
                </c:pt>
                <c:pt idx="64">
                  <c:v>18678.90446395997</c:v>
                </c:pt>
                <c:pt idx="65">
                  <c:v>18678.90446395997</c:v>
                </c:pt>
                <c:pt idx="66">
                  <c:v>18678.90446395997</c:v>
                </c:pt>
                <c:pt idx="67">
                  <c:v>18678.90446395997</c:v>
                </c:pt>
                <c:pt idx="68">
                  <c:v>18678.90446395997</c:v>
                </c:pt>
                <c:pt idx="69">
                  <c:v>18678.90446395997</c:v>
                </c:pt>
                <c:pt idx="70">
                  <c:v>18678.90446395997</c:v>
                </c:pt>
                <c:pt idx="71">
                  <c:v>18678.90446395997</c:v>
                </c:pt>
                <c:pt idx="72">
                  <c:v>18678.90446395997</c:v>
                </c:pt>
                <c:pt idx="73">
                  <c:v>18678.90446395997</c:v>
                </c:pt>
                <c:pt idx="74">
                  <c:v>18678.90446395997</c:v>
                </c:pt>
                <c:pt idx="75">
                  <c:v>18678.90446395997</c:v>
                </c:pt>
                <c:pt idx="76">
                  <c:v>18678.90446395997</c:v>
                </c:pt>
                <c:pt idx="77">
                  <c:v>18678.90446395997</c:v>
                </c:pt>
                <c:pt idx="78">
                  <c:v>18678.90446395997</c:v>
                </c:pt>
                <c:pt idx="79">
                  <c:v>18678.90446395997</c:v>
                </c:pt>
                <c:pt idx="80">
                  <c:v>18678.90446395997</c:v>
                </c:pt>
                <c:pt idx="81">
                  <c:v>18678.90446395997</c:v>
                </c:pt>
                <c:pt idx="82">
                  <c:v>18678.90446395997</c:v>
                </c:pt>
                <c:pt idx="83">
                  <c:v>18678.90446395997</c:v>
                </c:pt>
                <c:pt idx="84">
                  <c:v>18678.90446395997</c:v>
                </c:pt>
                <c:pt idx="85">
                  <c:v>18678.90446395997</c:v>
                </c:pt>
                <c:pt idx="86">
                  <c:v>18678.90446395997</c:v>
                </c:pt>
                <c:pt idx="87">
                  <c:v>18678.90446395997</c:v>
                </c:pt>
                <c:pt idx="88">
                  <c:v>18678.90446395997</c:v>
                </c:pt>
                <c:pt idx="89">
                  <c:v>18678.90446395997</c:v>
                </c:pt>
                <c:pt idx="90">
                  <c:v>18678.90446395997</c:v>
                </c:pt>
                <c:pt idx="91">
                  <c:v>18678.90446395997</c:v>
                </c:pt>
                <c:pt idx="92">
                  <c:v>18678.90446395997</c:v>
                </c:pt>
                <c:pt idx="93">
                  <c:v>18678.90446395997</c:v>
                </c:pt>
                <c:pt idx="94">
                  <c:v>18678.90446395997</c:v>
                </c:pt>
                <c:pt idx="95">
                  <c:v>18678.90446395997</c:v>
                </c:pt>
                <c:pt idx="96">
                  <c:v>18678.90446395997</c:v>
                </c:pt>
                <c:pt idx="97">
                  <c:v>18678.90446395997</c:v>
                </c:pt>
                <c:pt idx="98">
                  <c:v>18678.90446395997</c:v>
                </c:pt>
                <c:pt idx="99">
                  <c:v>18678.90446395997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465496"/>
        <c:axId val="2141460872"/>
      </c:lineChart>
      <c:catAx>
        <c:axId val="214146549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14608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414608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1465496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0.0</c:v>
                </c:pt>
                <c:pt idx="1">
                  <c:v>4.798600000000021</c:v>
                </c:pt>
                <c:pt idx="2">
                  <c:v>4.798600000000021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340.26</c:v>
                </c:pt>
                <c:pt idx="1">
                  <c:v>-33.31110000000001</c:v>
                </c:pt>
                <c:pt idx="2">
                  <c:v>-33.31110000000001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0.0</c:v>
                </c:pt>
                <c:pt idx="1">
                  <c:v>-27.07420000000002</c:v>
                </c:pt>
                <c:pt idx="2">
                  <c:v>-27.07420000000002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786.9552</c:v>
                </c:pt>
                <c:pt idx="2">
                  <c:v>786.9552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0.0</c:v>
                </c:pt>
                <c:pt idx="1">
                  <c:v>-38.24879999999997</c:v>
                </c:pt>
                <c:pt idx="2">
                  <c:v>-38.24879999999997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0.0</c:v>
                </c:pt>
                <c:pt idx="1">
                  <c:v>169.8292999999998</c:v>
                </c:pt>
                <c:pt idx="2">
                  <c:v>169.8292999999998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236376"/>
        <c:axId val="2141233400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0.0</c:v>
                </c:pt>
                <c:pt idx="1">
                  <c:v>8.798199999999997</c:v>
                </c:pt>
                <c:pt idx="2">
                  <c:v>8.798199999999997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4315.328000000002</c:v>
                </c:pt>
                <c:pt idx="2">
                  <c:v>4315.328000000002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0.0</c:v>
                </c:pt>
                <c:pt idx="1">
                  <c:v>39.32889999999997</c:v>
                </c:pt>
                <c:pt idx="2">
                  <c:v>39.32889999999997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49.0</c:v>
                </c:pt>
                <c:pt idx="1">
                  <c:v>49.0</c:v>
                </c:pt>
                <c:pt idx="2">
                  <c:v>49.0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0.0</c:v>
                </c:pt>
                <c:pt idx="1">
                  <c:v>-22.8433</c:v>
                </c:pt>
                <c:pt idx="2">
                  <c:v>-22.8433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228936"/>
        <c:axId val="2141224040"/>
      </c:scatterChart>
      <c:valAx>
        <c:axId val="214123637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1233400"/>
        <c:crosses val="autoZero"/>
        <c:crossBetween val="midCat"/>
      </c:valAx>
      <c:valAx>
        <c:axId val="21412334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1236376"/>
        <c:crosses val="autoZero"/>
        <c:crossBetween val="midCat"/>
      </c:valAx>
      <c:valAx>
        <c:axId val="2141228936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2141224040"/>
        <c:crosses val="autoZero"/>
        <c:crossBetween val="midCat"/>
      </c:valAx>
      <c:valAx>
        <c:axId val="214122404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1228936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1487.014504543879</c:v>
                </c:pt>
                <c:pt idx="1">
                  <c:v>1487.014504543879</c:v>
                </c:pt>
                <c:pt idx="2">
                  <c:v>1487.014504543879</c:v>
                </c:pt>
                <c:pt idx="3">
                  <c:v>1487.014504543879</c:v>
                </c:pt>
                <c:pt idx="4">
                  <c:v>1487.014504543879</c:v>
                </c:pt>
                <c:pt idx="5">
                  <c:v>1487.014504543879</c:v>
                </c:pt>
                <c:pt idx="6">
                  <c:v>1487.014504543879</c:v>
                </c:pt>
                <c:pt idx="7">
                  <c:v>1487.014504543879</c:v>
                </c:pt>
                <c:pt idx="8">
                  <c:v>1487.014504543879</c:v>
                </c:pt>
                <c:pt idx="9">
                  <c:v>1487.014504543879</c:v>
                </c:pt>
                <c:pt idx="10">
                  <c:v>1487.014504543879</c:v>
                </c:pt>
                <c:pt idx="11">
                  <c:v>1487.014504543879</c:v>
                </c:pt>
                <c:pt idx="12">
                  <c:v>1487.014504543879</c:v>
                </c:pt>
                <c:pt idx="13">
                  <c:v>1487.014504543879</c:v>
                </c:pt>
                <c:pt idx="14">
                  <c:v>1487.014504543879</c:v>
                </c:pt>
                <c:pt idx="15">
                  <c:v>1487.014504543879</c:v>
                </c:pt>
                <c:pt idx="16">
                  <c:v>1487.014504543879</c:v>
                </c:pt>
                <c:pt idx="17">
                  <c:v>1487.014504543879</c:v>
                </c:pt>
                <c:pt idx="18">
                  <c:v>1487.014504543879</c:v>
                </c:pt>
                <c:pt idx="19">
                  <c:v>1487.014504543879</c:v>
                </c:pt>
                <c:pt idx="20">
                  <c:v>1487.014504543879</c:v>
                </c:pt>
                <c:pt idx="21">
                  <c:v>1487.014504543879</c:v>
                </c:pt>
                <c:pt idx="22">
                  <c:v>1487.014504543879</c:v>
                </c:pt>
                <c:pt idx="23">
                  <c:v>1487.014504543879</c:v>
                </c:pt>
                <c:pt idx="24">
                  <c:v>1487.014504543879</c:v>
                </c:pt>
                <c:pt idx="25">
                  <c:v>1503.753296966925</c:v>
                </c:pt>
                <c:pt idx="26">
                  <c:v>1537.230881813018</c:v>
                </c:pt>
                <c:pt idx="27">
                  <c:v>1570.708466659111</c:v>
                </c:pt>
                <c:pt idx="28">
                  <c:v>1604.186051505204</c:v>
                </c:pt>
                <c:pt idx="29">
                  <c:v>1637.663636351298</c:v>
                </c:pt>
                <c:pt idx="30">
                  <c:v>1671.141221197391</c:v>
                </c:pt>
                <c:pt idx="31">
                  <c:v>1704.618806043484</c:v>
                </c:pt>
                <c:pt idx="32">
                  <c:v>1738.096390889577</c:v>
                </c:pt>
                <c:pt idx="33">
                  <c:v>1771.57397573567</c:v>
                </c:pt>
                <c:pt idx="34">
                  <c:v>1805.051560581763</c:v>
                </c:pt>
                <c:pt idx="35">
                  <c:v>1838.529145427857</c:v>
                </c:pt>
                <c:pt idx="36">
                  <c:v>1872.00673027395</c:v>
                </c:pt>
                <c:pt idx="37">
                  <c:v>1905.484315120043</c:v>
                </c:pt>
                <c:pt idx="38">
                  <c:v>1938.961899966136</c:v>
                </c:pt>
                <c:pt idx="39">
                  <c:v>1972.43948481223</c:v>
                </c:pt>
                <c:pt idx="40">
                  <c:v>2005.917069658322</c:v>
                </c:pt>
                <c:pt idx="41">
                  <c:v>2039.394654504415</c:v>
                </c:pt>
                <c:pt idx="42">
                  <c:v>2072.872239350508</c:v>
                </c:pt>
                <c:pt idx="43">
                  <c:v>2106.349824196602</c:v>
                </c:pt>
                <c:pt idx="44">
                  <c:v>2139.827409042695</c:v>
                </c:pt>
                <c:pt idx="45">
                  <c:v>2173.304993888788</c:v>
                </c:pt>
                <c:pt idx="46">
                  <c:v>2206.782578734881</c:v>
                </c:pt>
                <c:pt idx="47">
                  <c:v>2240.260163580974</c:v>
                </c:pt>
                <c:pt idx="48">
                  <c:v>2273.737748427067</c:v>
                </c:pt>
                <c:pt idx="49">
                  <c:v>2307.21533327316</c:v>
                </c:pt>
                <c:pt idx="50">
                  <c:v>3463.647400919703</c:v>
                </c:pt>
                <c:pt idx="51">
                  <c:v>3468.446000919703</c:v>
                </c:pt>
                <c:pt idx="52">
                  <c:v>3473.244600919703</c:v>
                </c:pt>
                <c:pt idx="53">
                  <c:v>3478.043200919703</c:v>
                </c:pt>
                <c:pt idx="54">
                  <c:v>3482.841800919703</c:v>
                </c:pt>
                <c:pt idx="55">
                  <c:v>3487.640400919703</c:v>
                </c:pt>
                <c:pt idx="56">
                  <c:v>3492.439000919703</c:v>
                </c:pt>
                <c:pt idx="57">
                  <c:v>3497.237600919703</c:v>
                </c:pt>
                <c:pt idx="58">
                  <c:v>3502.036200919703</c:v>
                </c:pt>
                <c:pt idx="59">
                  <c:v>3506.834800919703</c:v>
                </c:pt>
                <c:pt idx="60">
                  <c:v>3511.633400919703</c:v>
                </c:pt>
                <c:pt idx="61">
                  <c:v>3516.432000919703</c:v>
                </c:pt>
                <c:pt idx="62">
                  <c:v>3521.230600919703</c:v>
                </c:pt>
                <c:pt idx="63">
                  <c:v>3526.029200919703</c:v>
                </c:pt>
                <c:pt idx="64">
                  <c:v>3530.827800919703</c:v>
                </c:pt>
                <c:pt idx="65">
                  <c:v>3535.626400919703</c:v>
                </c:pt>
                <c:pt idx="66">
                  <c:v>3540.425000919703</c:v>
                </c:pt>
                <c:pt idx="67">
                  <c:v>3545.223600919703</c:v>
                </c:pt>
                <c:pt idx="68">
                  <c:v>3550.022200919703</c:v>
                </c:pt>
                <c:pt idx="69">
                  <c:v>3554.820800919703</c:v>
                </c:pt>
                <c:pt idx="70">
                  <c:v>3559.619400919703</c:v>
                </c:pt>
                <c:pt idx="71">
                  <c:v>3564.418000919703</c:v>
                </c:pt>
                <c:pt idx="72">
                  <c:v>3569.216600919703</c:v>
                </c:pt>
                <c:pt idx="73">
                  <c:v>3574.015200919703</c:v>
                </c:pt>
                <c:pt idx="74">
                  <c:v>3578.813800919703</c:v>
                </c:pt>
                <c:pt idx="75">
                  <c:v>3583.612400919703</c:v>
                </c:pt>
                <c:pt idx="76">
                  <c:v>3588.411000919703</c:v>
                </c:pt>
                <c:pt idx="77">
                  <c:v>3593.209600919703</c:v>
                </c:pt>
                <c:pt idx="78">
                  <c:v>3598.008200919703</c:v>
                </c:pt>
                <c:pt idx="79">
                  <c:v>3602.806800919703</c:v>
                </c:pt>
                <c:pt idx="80">
                  <c:v>3607.605400919703</c:v>
                </c:pt>
                <c:pt idx="81">
                  <c:v>3612.404000919703</c:v>
                </c:pt>
                <c:pt idx="82">
                  <c:v>3617.202600919703</c:v>
                </c:pt>
                <c:pt idx="83">
                  <c:v>3622.001200919703</c:v>
                </c:pt>
                <c:pt idx="84">
                  <c:v>3626.799800919704</c:v>
                </c:pt>
                <c:pt idx="85">
                  <c:v>3631.598400919704</c:v>
                </c:pt>
                <c:pt idx="86">
                  <c:v>3636.397000919703</c:v>
                </c:pt>
                <c:pt idx="87">
                  <c:v>3641.195600919703</c:v>
                </c:pt>
                <c:pt idx="88">
                  <c:v>3645.994200919703</c:v>
                </c:pt>
                <c:pt idx="89">
                  <c:v>3650.792800919703</c:v>
                </c:pt>
                <c:pt idx="90">
                  <c:v>3655.591400919704</c:v>
                </c:pt>
                <c:pt idx="91">
                  <c:v>3660.390000919704</c:v>
                </c:pt>
                <c:pt idx="92">
                  <c:v>3665.188600919704</c:v>
                </c:pt>
                <c:pt idx="93">
                  <c:v>3669.987200919703</c:v>
                </c:pt>
                <c:pt idx="94">
                  <c:v>3674.785800919703</c:v>
                </c:pt>
                <c:pt idx="95">
                  <c:v>3679.584400919704</c:v>
                </c:pt>
                <c:pt idx="96">
                  <c:v>3684.383000919704</c:v>
                </c:pt>
                <c:pt idx="97">
                  <c:v>3689.181600919704</c:v>
                </c:pt>
                <c:pt idx="98">
                  <c:v>3693.980200919704</c:v>
                </c:pt>
                <c:pt idx="99">
                  <c:v>3698.778800919704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18312.2889</c:v>
                </c:pt>
                <c:pt idx="51">
                  <c:v>18278.9778</c:v>
                </c:pt>
                <c:pt idx="52">
                  <c:v>18245.6667</c:v>
                </c:pt>
                <c:pt idx="53">
                  <c:v>18212.3556</c:v>
                </c:pt>
                <c:pt idx="54">
                  <c:v>18179.0445</c:v>
                </c:pt>
                <c:pt idx="55">
                  <c:v>18145.7334</c:v>
                </c:pt>
                <c:pt idx="56">
                  <c:v>18112.4223</c:v>
                </c:pt>
                <c:pt idx="57">
                  <c:v>18079.1112</c:v>
                </c:pt>
                <c:pt idx="58">
                  <c:v>18045.8001</c:v>
                </c:pt>
                <c:pt idx="59">
                  <c:v>18012.489</c:v>
                </c:pt>
                <c:pt idx="60">
                  <c:v>17979.1779</c:v>
                </c:pt>
                <c:pt idx="61">
                  <c:v>17945.8668</c:v>
                </c:pt>
                <c:pt idx="62">
                  <c:v>17912.5557</c:v>
                </c:pt>
                <c:pt idx="63">
                  <c:v>17879.2446</c:v>
                </c:pt>
                <c:pt idx="64">
                  <c:v>17845.9335</c:v>
                </c:pt>
                <c:pt idx="65">
                  <c:v>17812.6224</c:v>
                </c:pt>
                <c:pt idx="66">
                  <c:v>17779.3113</c:v>
                </c:pt>
                <c:pt idx="67">
                  <c:v>17746.0002</c:v>
                </c:pt>
                <c:pt idx="68">
                  <c:v>17712.6891</c:v>
                </c:pt>
                <c:pt idx="69">
                  <c:v>17679.378</c:v>
                </c:pt>
                <c:pt idx="70">
                  <c:v>17646.0669</c:v>
                </c:pt>
                <c:pt idx="71">
                  <c:v>17612.7558</c:v>
                </c:pt>
                <c:pt idx="72">
                  <c:v>17579.4447</c:v>
                </c:pt>
                <c:pt idx="73">
                  <c:v>17546.1336</c:v>
                </c:pt>
                <c:pt idx="74">
                  <c:v>17512.8225</c:v>
                </c:pt>
                <c:pt idx="75">
                  <c:v>17479.5114</c:v>
                </c:pt>
                <c:pt idx="76">
                  <c:v>17446.2003</c:v>
                </c:pt>
                <c:pt idx="77">
                  <c:v>17412.8892</c:v>
                </c:pt>
                <c:pt idx="78">
                  <c:v>17379.5781</c:v>
                </c:pt>
                <c:pt idx="79">
                  <c:v>17346.267</c:v>
                </c:pt>
                <c:pt idx="80">
                  <c:v>17312.9559</c:v>
                </c:pt>
                <c:pt idx="81">
                  <c:v>17279.6448</c:v>
                </c:pt>
                <c:pt idx="82">
                  <c:v>17246.3337</c:v>
                </c:pt>
                <c:pt idx="83">
                  <c:v>17213.0226</c:v>
                </c:pt>
                <c:pt idx="84">
                  <c:v>17179.7115</c:v>
                </c:pt>
                <c:pt idx="85">
                  <c:v>17146.4004</c:v>
                </c:pt>
                <c:pt idx="86">
                  <c:v>17113.0893</c:v>
                </c:pt>
                <c:pt idx="87">
                  <c:v>17079.7782</c:v>
                </c:pt>
                <c:pt idx="88">
                  <c:v>17046.4671</c:v>
                </c:pt>
                <c:pt idx="89">
                  <c:v>17013.156</c:v>
                </c:pt>
                <c:pt idx="90">
                  <c:v>16979.8449</c:v>
                </c:pt>
                <c:pt idx="91">
                  <c:v>16946.5338</c:v>
                </c:pt>
                <c:pt idx="92">
                  <c:v>16913.2227</c:v>
                </c:pt>
                <c:pt idx="93">
                  <c:v>16879.9116</c:v>
                </c:pt>
                <c:pt idx="94">
                  <c:v>16846.6005</c:v>
                </c:pt>
                <c:pt idx="95">
                  <c:v>16813.2894</c:v>
                </c:pt>
                <c:pt idx="96">
                  <c:v>16779.9783</c:v>
                </c:pt>
                <c:pt idx="97">
                  <c:v>16746.6672</c:v>
                </c:pt>
                <c:pt idx="98">
                  <c:v>16713.3561</c:v>
                </c:pt>
                <c:pt idx="99">
                  <c:v>16680.045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0.461267603244202</c:v>
                </c:pt>
                <c:pt idx="26">
                  <c:v>1.383802809732606</c:v>
                </c:pt>
                <c:pt idx="27">
                  <c:v>2.30633801622101</c:v>
                </c:pt>
                <c:pt idx="28">
                  <c:v>3.228873222709414</c:v>
                </c:pt>
                <c:pt idx="29">
                  <c:v>4.151408429197819</c:v>
                </c:pt>
                <c:pt idx="30">
                  <c:v>5.073943635686222</c:v>
                </c:pt>
                <c:pt idx="31">
                  <c:v>5.996478842174626</c:v>
                </c:pt>
                <c:pt idx="32">
                  <c:v>6.919014048663031</c:v>
                </c:pt>
                <c:pt idx="33">
                  <c:v>7.841549255151435</c:v>
                </c:pt>
                <c:pt idx="34">
                  <c:v>8.76408446163984</c:v>
                </c:pt>
                <c:pt idx="35">
                  <c:v>9.68661966812824</c:v>
                </c:pt>
                <c:pt idx="36">
                  <c:v>10.60915487461665</c:v>
                </c:pt>
                <c:pt idx="37">
                  <c:v>11.53169008110505</c:v>
                </c:pt>
                <c:pt idx="38">
                  <c:v>12.45422528759346</c:v>
                </c:pt>
                <c:pt idx="39">
                  <c:v>13.37676049408186</c:v>
                </c:pt>
                <c:pt idx="40">
                  <c:v>14.29929570057026</c:v>
                </c:pt>
                <c:pt idx="41">
                  <c:v>15.22183090705867</c:v>
                </c:pt>
                <c:pt idx="42">
                  <c:v>16.14436611354707</c:v>
                </c:pt>
                <c:pt idx="43">
                  <c:v>17.06690132003548</c:v>
                </c:pt>
                <c:pt idx="44">
                  <c:v>17.98943652652388</c:v>
                </c:pt>
                <c:pt idx="45">
                  <c:v>18.91197173301228</c:v>
                </c:pt>
                <c:pt idx="46">
                  <c:v>19.83450693950069</c:v>
                </c:pt>
                <c:pt idx="47">
                  <c:v>20.75704214598909</c:v>
                </c:pt>
                <c:pt idx="48">
                  <c:v>21.6795773524775</c:v>
                </c:pt>
                <c:pt idx="49">
                  <c:v>22.6021125589659</c:v>
                </c:pt>
                <c:pt idx="50">
                  <c:v>1539.157624806298</c:v>
                </c:pt>
                <c:pt idx="51">
                  <c:v>1547.955824806298</c:v>
                </c:pt>
                <c:pt idx="52">
                  <c:v>1556.754024806298</c:v>
                </c:pt>
                <c:pt idx="53">
                  <c:v>1565.552224806298</c:v>
                </c:pt>
                <c:pt idx="54">
                  <c:v>1574.350424806298</c:v>
                </c:pt>
                <c:pt idx="55">
                  <c:v>1583.148624806298</c:v>
                </c:pt>
                <c:pt idx="56">
                  <c:v>1591.946824806298</c:v>
                </c:pt>
                <c:pt idx="57">
                  <c:v>1600.745024806298</c:v>
                </c:pt>
                <c:pt idx="58">
                  <c:v>1609.543224806298</c:v>
                </c:pt>
                <c:pt idx="59">
                  <c:v>1618.341424806298</c:v>
                </c:pt>
                <c:pt idx="60">
                  <c:v>1627.139624806298</c:v>
                </c:pt>
                <c:pt idx="61">
                  <c:v>1635.937824806298</c:v>
                </c:pt>
                <c:pt idx="62">
                  <c:v>1644.736024806298</c:v>
                </c:pt>
                <c:pt idx="63">
                  <c:v>1653.534224806298</c:v>
                </c:pt>
                <c:pt idx="64">
                  <c:v>1662.332424806298</c:v>
                </c:pt>
                <c:pt idx="65">
                  <c:v>1671.130624806298</c:v>
                </c:pt>
                <c:pt idx="66">
                  <c:v>1679.928824806298</c:v>
                </c:pt>
                <c:pt idx="67">
                  <c:v>1688.727024806298</c:v>
                </c:pt>
                <c:pt idx="68">
                  <c:v>1697.525224806298</c:v>
                </c:pt>
                <c:pt idx="69">
                  <c:v>1706.323424806298</c:v>
                </c:pt>
                <c:pt idx="70">
                  <c:v>1715.121624806298</c:v>
                </c:pt>
                <c:pt idx="71">
                  <c:v>1723.919824806298</c:v>
                </c:pt>
                <c:pt idx="72">
                  <c:v>1732.718024806298</c:v>
                </c:pt>
                <c:pt idx="73">
                  <c:v>1741.516224806298</c:v>
                </c:pt>
                <c:pt idx="74">
                  <c:v>1750.314424806298</c:v>
                </c:pt>
                <c:pt idx="75">
                  <c:v>1759.112624806298</c:v>
                </c:pt>
                <c:pt idx="76">
                  <c:v>1767.910824806298</c:v>
                </c:pt>
                <c:pt idx="77">
                  <c:v>1776.709024806298</c:v>
                </c:pt>
                <c:pt idx="78">
                  <c:v>1785.507224806298</c:v>
                </c:pt>
                <c:pt idx="79">
                  <c:v>1794.305424806298</c:v>
                </c:pt>
                <c:pt idx="80">
                  <c:v>1803.103624806298</c:v>
                </c:pt>
                <c:pt idx="81">
                  <c:v>1811.901824806298</c:v>
                </c:pt>
                <c:pt idx="82">
                  <c:v>1820.700024806298</c:v>
                </c:pt>
                <c:pt idx="83">
                  <c:v>1829.498224806298</c:v>
                </c:pt>
                <c:pt idx="84">
                  <c:v>1838.296424806298</c:v>
                </c:pt>
                <c:pt idx="85">
                  <c:v>1847.094624806298</c:v>
                </c:pt>
                <c:pt idx="86">
                  <c:v>1855.892824806298</c:v>
                </c:pt>
                <c:pt idx="87">
                  <c:v>1864.691024806298</c:v>
                </c:pt>
                <c:pt idx="88">
                  <c:v>1873.489224806298</c:v>
                </c:pt>
                <c:pt idx="89">
                  <c:v>1882.287424806298</c:v>
                </c:pt>
                <c:pt idx="90">
                  <c:v>1891.085624806298</c:v>
                </c:pt>
                <c:pt idx="91">
                  <c:v>1899.883824806298</c:v>
                </c:pt>
                <c:pt idx="92">
                  <c:v>1908.682024806298</c:v>
                </c:pt>
                <c:pt idx="93">
                  <c:v>1917.480224806298</c:v>
                </c:pt>
                <c:pt idx="94">
                  <c:v>1926.278424806298</c:v>
                </c:pt>
                <c:pt idx="95">
                  <c:v>1935.076624806298</c:v>
                </c:pt>
                <c:pt idx="96">
                  <c:v>1943.874824806298</c:v>
                </c:pt>
                <c:pt idx="97">
                  <c:v>1952.673024806298</c:v>
                </c:pt>
                <c:pt idx="98">
                  <c:v>1961.471224806298</c:v>
                </c:pt>
                <c:pt idx="99">
                  <c:v>1970.269424806298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711.2000000000001</c:v>
                </c:pt>
                <c:pt idx="1">
                  <c:v>711.2000000000001</c:v>
                </c:pt>
                <c:pt idx="2">
                  <c:v>711.2000000000001</c:v>
                </c:pt>
                <c:pt idx="3">
                  <c:v>711.2000000000001</c:v>
                </c:pt>
                <c:pt idx="4">
                  <c:v>711.2000000000001</c:v>
                </c:pt>
                <c:pt idx="5">
                  <c:v>711.2000000000001</c:v>
                </c:pt>
                <c:pt idx="6">
                  <c:v>711.2000000000001</c:v>
                </c:pt>
                <c:pt idx="7">
                  <c:v>711.2000000000001</c:v>
                </c:pt>
                <c:pt idx="8">
                  <c:v>711.2000000000001</c:v>
                </c:pt>
                <c:pt idx="9">
                  <c:v>711.2000000000001</c:v>
                </c:pt>
                <c:pt idx="10">
                  <c:v>711.2000000000001</c:v>
                </c:pt>
                <c:pt idx="11">
                  <c:v>711.2000000000001</c:v>
                </c:pt>
                <c:pt idx="12">
                  <c:v>711.2000000000001</c:v>
                </c:pt>
                <c:pt idx="13">
                  <c:v>711.2000000000001</c:v>
                </c:pt>
                <c:pt idx="14">
                  <c:v>711.2000000000001</c:v>
                </c:pt>
                <c:pt idx="15">
                  <c:v>711.2000000000001</c:v>
                </c:pt>
                <c:pt idx="16">
                  <c:v>711.2000000000001</c:v>
                </c:pt>
                <c:pt idx="17">
                  <c:v>711.2000000000001</c:v>
                </c:pt>
                <c:pt idx="18">
                  <c:v>711.2000000000001</c:v>
                </c:pt>
                <c:pt idx="19">
                  <c:v>711.2000000000001</c:v>
                </c:pt>
                <c:pt idx="20">
                  <c:v>711.2000000000001</c:v>
                </c:pt>
                <c:pt idx="21">
                  <c:v>711.2000000000001</c:v>
                </c:pt>
                <c:pt idx="22">
                  <c:v>711.2000000000001</c:v>
                </c:pt>
                <c:pt idx="23">
                  <c:v>711.2000000000001</c:v>
                </c:pt>
                <c:pt idx="24">
                  <c:v>711.2000000000001</c:v>
                </c:pt>
                <c:pt idx="25">
                  <c:v>760.6400000000001</c:v>
                </c:pt>
                <c:pt idx="26">
                  <c:v>859.5200000000002</c:v>
                </c:pt>
                <c:pt idx="27">
                  <c:v>958.4000000000001</c:v>
                </c:pt>
                <c:pt idx="28">
                  <c:v>1057.28</c:v>
                </c:pt>
                <c:pt idx="29">
                  <c:v>1156.16</c:v>
                </c:pt>
                <c:pt idx="30">
                  <c:v>1255.04</c:v>
                </c:pt>
                <c:pt idx="31">
                  <c:v>1353.92</c:v>
                </c:pt>
                <c:pt idx="32">
                  <c:v>1452.8</c:v>
                </c:pt>
                <c:pt idx="33">
                  <c:v>1551.68</c:v>
                </c:pt>
                <c:pt idx="34">
                  <c:v>1650.56</c:v>
                </c:pt>
                <c:pt idx="35">
                  <c:v>1749.44</c:v>
                </c:pt>
                <c:pt idx="36">
                  <c:v>1848.32</c:v>
                </c:pt>
                <c:pt idx="37">
                  <c:v>1947.2</c:v>
                </c:pt>
                <c:pt idx="38">
                  <c:v>2046.08</c:v>
                </c:pt>
                <c:pt idx="39">
                  <c:v>2144.96</c:v>
                </c:pt>
                <c:pt idx="40">
                  <c:v>2243.84</c:v>
                </c:pt>
                <c:pt idx="41">
                  <c:v>2342.72</c:v>
                </c:pt>
                <c:pt idx="42">
                  <c:v>2441.6</c:v>
                </c:pt>
                <c:pt idx="43">
                  <c:v>2540.48</c:v>
                </c:pt>
                <c:pt idx="44">
                  <c:v>2639.36</c:v>
                </c:pt>
                <c:pt idx="45">
                  <c:v>2738.24</c:v>
                </c:pt>
                <c:pt idx="46">
                  <c:v>2837.12</c:v>
                </c:pt>
                <c:pt idx="47">
                  <c:v>2936.0</c:v>
                </c:pt>
                <c:pt idx="48">
                  <c:v>3034.88</c:v>
                </c:pt>
                <c:pt idx="49">
                  <c:v>3133.76</c:v>
                </c:pt>
                <c:pt idx="50">
                  <c:v>24333.12</c:v>
                </c:pt>
                <c:pt idx="51">
                  <c:v>24333.12</c:v>
                </c:pt>
                <c:pt idx="52">
                  <c:v>24333.12</c:v>
                </c:pt>
                <c:pt idx="53">
                  <c:v>24333.12</c:v>
                </c:pt>
                <c:pt idx="54">
                  <c:v>24333.12</c:v>
                </c:pt>
                <c:pt idx="55">
                  <c:v>24333.12</c:v>
                </c:pt>
                <c:pt idx="56">
                  <c:v>24333.12</c:v>
                </c:pt>
                <c:pt idx="57">
                  <c:v>24333.12</c:v>
                </c:pt>
                <c:pt idx="58">
                  <c:v>24333.12</c:v>
                </c:pt>
                <c:pt idx="59">
                  <c:v>24333.12</c:v>
                </c:pt>
                <c:pt idx="60">
                  <c:v>24333.12</c:v>
                </c:pt>
                <c:pt idx="61">
                  <c:v>24333.12</c:v>
                </c:pt>
                <c:pt idx="62">
                  <c:v>24333.12</c:v>
                </c:pt>
                <c:pt idx="63">
                  <c:v>24333.12</c:v>
                </c:pt>
                <c:pt idx="64">
                  <c:v>24333.12</c:v>
                </c:pt>
                <c:pt idx="65">
                  <c:v>24333.12</c:v>
                </c:pt>
                <c:pt idx="66">
                  <c:v>24333.12</c:v>
                </c:pt>
                <c:pt idx="67">
                  <c:v>24333.12</c:v>
                </c:pt>
                <c:pt idx="68">
                  <c:v>24333.12</c:v>
                </c:pt>
                <c:pt idx="69">
                  <c:v>24333.12</c:v>
                </c:pt>
                <c:pt idx="70">
                  <c:v>24333.12</c:v>
                </c:pt>
                <c:pt idx="71">
                  <c:v>24333.12</c:v>
                </c:pt>
                <c:pt idx="72">
                  <c:v>24333.12</c:v>
                </c:pt>
                <c:pt idx="73">
                  <c:v>24333.12</c:v>
                </c:pt>
                <c:pt idx="74">
                  <c:v>24333.12</c:v>
                </c:pt>
                <c:pt idx="75">
                  <c:v>24333.12</c:v>
                </c:pt>
                <c:pt idx="76">
                  <c:v>24333.12</c:v>
                </c:pt>
                <c:pt idx="77">
                  <c:v>24333.12</c:v>
                </c:pt>
                <c:pt idx="78">
                  <c:v>24333.12</c:v>
                </c:pt>
                <c:pt idx="79">
                  <c:v>24333.12</c:v>
                </c:pt>
                <c:pt idx="80">
                  <c:v>24333.12</c:v>
                </c:pt>
                <c:pt idx="81">
                  <c:v>24333.12</c:v>
                </c:pt>
                <c:pt idx="82">
                  <c:v>24333.12</c:v>
                </c:pt>
                <c:pt idx="83">
                  <c:v>24333.12</c:v>
                </c:pt>
                <c:pt idx="84">
                  <c:v>24333.12</c:v>
                </c:pt>
                <c:pt idx="85">
                  <c:v>24333.12</c:v>
                </c:pt>
                <c:pt idx="86">
                  <c:v>24333.12</c:v>
                </c:pt>
                <c:pt idx="87">
                  <c:v>24333.12</c:v>
                </c:pt>
                <c:pt idx="88">
                  <c:v>24333.12</c:v>
                </c:pt>
                <c:pt idx="89">
                  <c:v>24333.12</c:v>
                </c:pt>
                <c:pt idx="90">
                  <c:v>24333.12</c:v>
                </c:pt>
                <c:pt idx="91">
                  <c:v>24333.12</c:v>
                </c:pt>
                <c:pt idx="92">
                  <c:v>24333.12</c:v>
                </c:pt>
                <c:pt idx="93">
                  <c:v>24333.12</c:v>
                </c:pt>
                <c:pt idx="94">
                  <c:v>24333.12</c:v>
                </c:pt>
                <c:pt idx="95">
                  <c:v>24333.12</c:v>
                </c:pt>
                <c:pt idx="96">
                  <c:v>24333.12</c:v>
                </c:pt>
                <c:pt idx="97">
                  <c:v>24333.12</c:v>
                </c:pt>
                <c:pt idx="98">
                  <c:v>24333.12</c:v>
                </c:pt>
                <c:pt idx="99">
                  <c:v>24333.12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716.8000000000001</c:v>
                </c:pt>
                <c:pt idx="1">
                  <c:v>716.8000000000001</c:v>
                </c:pt>
                <c:pt idx="2">
                  <c:v>716.8000000000001</c:v>
                </c:pt>
                <c:pt idx="3">
                  <c:v>716.8000000000001</c:v>
                </c:pt>
                <c:pt idx="4">
                  <c:v>716.8000000000001</c:v>
                </c:pt>
                <c:pt idx="5">
                  <c:v>716.8000000000001</c:v>
                </c:pt>
                <c:pt idx="6">
                  <c:v>716.8000000000001</c:v>
                </c:pt>
                <c:pt idx="7">
                  <c:v>716.8000000000001</c:v>
                </c:pt>
                <c:pt idx="8">
                  <c:v>716.8000000000001</c:v>
                </c:pt>
                <c:pt idx="9">
                  <c:v>716.8000000000001</c:v>
                </c:pt>
                <c:pt idx="10">
                  <c:v>716.8000000000001</c:v>
                </c:pt>
                <c:pt idx="11">
                  <c:v>716.8000000000001</c:v>
                </c:pt>
                <c:pt idx="12">
                  <c:v>716.8000000000001</c:v>
                </c:pt>
                <c:pt idx="13">
                  <c:v>716.8000000000001</c:v>
                </c:pt>
                <c:pt idx="14">
                  <c:v>716.8000000000001</c:v>
                </c:pt>
                <c:pt idx="15">
                  <c:v>716.8000000000001</c:v>
                </c:pt>
                <c:pt idx="16">
                  <c:v>716.8000000000001</c:v>
                </c:pt>
                <c:pt idx="17">
                  <c:v>716.8000000000001</c:v>
                </c:pt>
                <c:pt idx="18">
                  <c:v>716.8000000000001</c:v>
                </c:pt>
                <c:pt idx="19">
                  <c:v>716.8000000000001</c:v>
                </c:pt>
                <c:pt idx="20">
                  <c:v>716.8000000000001</c:v>
                </c:pt>
                <c:pt idx="21">
                  <c:v>716.8000000000001</c:v>
                </c:pt>
                <c:pt idx="22">
                  <c:v>716.8000000000001</c:v>
                </c:pt>
                <c:pt idx="23">
                  <c:v>716.8000000000001</c:v>
                </c:pt>
                <c:pt idx="24">
                  <c:v>716.8000000000001</c:v>
                </c:pt>
                <c:pt idx="25">
                  <c:v>716.8000000000001</c:v>
                </c:pt>
                <c:pt idx="26">
                  <c:v>716.8000000000001</c:v>
                </c:pt>
                <c:pt idx="27">
                  <c:v>716.8000000000001</c:v>
                </c:pt>
                <c:pt idx="28">
                  <c:v>716.8000000000001</c:v>
                </c:pt>
                <c:pt idx="29">
                  <c:v>716.8000000000001</c:v>
                </c:pt>
                <c:pt idx="30">
                  <c:v>716.8000000000001</c:v>
                </c:pt>
                <c:pt idx="31">
                  <c:v>716.8000000000001</c:v>
                </c:pt>
                <c:pt idx="32">
                  <c:v>716.8000000000001</c:v>
                </c:pt>
                <c:pt idx="33">
                  <c:v>716.8000000000001</c:v>
                </c:pt>
                <c:pt idx="34">
                  <c:v>716.8000000000001</c:v>
                </c:pt>
                <c:pt idx="35">
                  <c:v>716.8000000000001</c:v>
                </c:pt>
                <c:pt idx="36">
                  <c:v>716.8000000000001</c:v>
                </c:pt>
                <c:pt idx="37">
                  <c:v>716.8000000000001</c:v>
                </c:pt>
                <c:pt idx="38">
                  <c:v>716.8000000000001</c:v>
                </c:pt>
                <c:pt idx="39">
                  <c:v>716.8000000000001</c:v>
                </c:pt>
                <c:pt idx="40">
                  <c:v>716.8000000000001</c:v>
                </c:pt>
                <c:pt idx="41">
                  <c:v>716.8000000000001</c:v>
                </c:pt>
                <c:pt idx="42">
                  <c:v>716.8000000000001</c:v>
                </c:pt>
                <c:pt idx="43">
                  <c:v>716.8000000000001</c:v>
                </c:pt>
                <c:pt idx="44">
                  <c:v>716.8000000000001</c:v>
                </c:pt>
                <c:pt idx="45">
                  <c:v>716.8000000000001</c:v>
                </c:pt>
                <c:pt idx="46">
                  <c:v>716.8000000000001</c:v>
                </c:pt>
                <c:pt idx="47">
                  <c:v>716.8000000000001</c:v>
                </c:pt>
                <c:pt idx="48">
                  <c:v>716.8000000000001</c:v>
                </c:pt>
                <c:pt idx="49">
                  <c:v>716.8000000000001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6731.200000000001</c:v>
                </c:pt>
                <c:pt idx="1">
                  <c:v>6731.200000000001</c:v>
                </c:pt>
                <c:pt idx="2">
                  <c:v>6731.200000000001</c:v>
                </c:pt>
                <c:pt idx="3">
                  <c:v>6731.200000000001</c:v>
                </c:pt>
                <c:pt idx="4">
                  <c:v>6731.200000000001</c:v>
                </c:pt>
                <c:pt idx="5">
                  <c:v>6731.200000000001</c:v>
                </c:pt>
                <c:pt idx="6">
                  <c:v>6731.200000000001</c:v>
                </c:pt>
                <c:pt idx="7">
                  <c:v>6731.200000000001</c:v>
                </c:pt>
                <c:pt idx="8">
                  <c:v>6731.200000000001</c:v>
                </c:pt>
                <c:pt idx="9">
                  <c:v>6731.200000000001</c:v>
                </c:pt>
                <c:pt idx="10">
                  <c:v>6731.200000000001</c:v>
                </c:pt>
                <c:pt idx="11">
                  <c:v>6731.200000000001</c:v>
                </c:pt>
                <c:pt idx="12">
                  <c:v>6731.200000000001</c:v>
                </c:pt>
                <c:pt idx="13">
                  <c:v>6731.200000000001</c:v>
                </c:pt>
                <c:pt idx="14">
                  <c:v>6731.200000000001</c:v>
                </c:pt>
                <c:pt idx="15">
                  <c:v>6731.200000000001</c:v>
                </c:pt>
                <c:pt idx="16">
                  <c:v>6731.200000000001</c:v>
                </c:pt>
                <c:pt idx="17">
                  <c:v>6731.200000000001</c:v>
                </c:pt>
                <c:pt idx="18">
                  <c:v>6731.200000000001</c:v>
                </c:pt>
                <c:pt idx="19">
                  <c:v>6731.200000000001</c:v>
                </c:pt>
                <c:pt idx="20">
                  <c:v>6731.200000000001</c:v>
                </c:pt>
                <c:pt idx="21">
                  <c:v>6731.200000000001</c:v>
                </c:pt>
                <c:pt idx="22">
                  <c:v>6731.200000000001</c:v>
                </c:pt>
                <c:pt idx="23">
                  <c:v>6731.200000000001</c:v>
                </c:pt>
                <c:pt idx="24">
                  <c:v>6731.200000000001</c:v>
                </c:pt>
                <c:pt idx="25">
                  <c:v>6869.257142857144</c:v>
                </c:pt>
                <c:pt idx="26">
                  <c:v>7145.37142857143</c:v>
                </c:pt>
                <c:pt idx="27">
                  <c:v>7421.485714285715</c:v>
                </c:pt>
                <c:pt idx="28">
                  <c:v>7697.6</c:v>
                </c:pt>
                <c:pt idx="29">
                  <c:v>7973.714285714286</c:v>
                </c:pt>
                <c:pt idx="30">
                  <c:v>8249.828571428572</c:v>
                </c:pt>
                <c:pt idx="31">
                  <c:v>8525.942857142857</c:v>
                </c:pt>
                <c:pt idx="32">
                  <c:v>8802.057142857143</c:v>
                </c:pt>
                <c:pt idx="33">
                  <c:v>9078.17142857143</c:v>
                </c:pt>
                <c:pt idx="34">
                  <c:v>9354.285714285716</c:v>
                </c:pt>
                <c:pt idx="35">
                  <c:v>9630.400000000001</c:v>
                </c:pt>
                <c:pt idx="36">
                  <c:v>9906.514285714287</c:v>
                </c:pt>
                <c:pt idx="37">
                  <c:v>10182.62857142857</c:v>
                </c:pt>
                <c:pt idx="38">
                  <c:v>10458.74285714286</c:v>
                </c:pt>
                <c:pt idx="39">
                  <c:v>10734.85714285714</c:v>
                </c:pt>
                <c:pt idx="40">
                  <c:v>11010.97142857143</c:v>
                </c:pt>
                <c:pt idx="41">
                  <c:v>11287.08571428572</c:v>
                </c:pt>
                <c:pt idx="42">
                  <c:v>11563.2</c:v>
                </c:pt>
                <c:pt idx="43">
                  <c:v>11839.31428571429</c:v>
                </c:pt>
                <c:pt idx="44">
                  <c:v>12115.42857142857</c:v>
                </c:pt>
                <c:pt idx="45">
                  <c:v>12391.54285714286</c:v>
                </c:pt>
                <c:pt idx="46">
                  <c:v>12667.65714285714</c:v>
                </c:pt>
                <c:pt idx="47">
                  <c:v>12943.77142857143</c:v>
                </c:pt>
                <c:pt idx="48">
                  <c:v>13219.88571428572</c:v>
                </c:pt>
                <c:pt idx="49">
                  <c:v>13496.0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278491.328</c:v>
                </c:pt>
                <c:pt idx="51">
                  <c:v>282806.6560000001</c:v>
                </c:pt>
                <c:pt idx="52">
                  <c:v>287121.984</c:v>
                </c:pt>
                <c:pt idx="53">
                  <c:v>291437.3120000001</c:v>
                </c:pt>
                <c:pt idx="54">
                  <c:v>295752.6400000001</c:v>
                </c:pt>
                <c:pt idx="55">
                  <c:v>300067.9680000001</c:v>
                </c:pt>
                <c:pt idx="56">
                  <c:v>304383.2960000001</c:v>
                </c:pt>
                <c:pt idx="57">
                  <c:v>308698.6240000001</c:v>
                </c:pt>
                <c:pt idx="58">
                  <c:v>313013.952</c:v>
                </c:pt>
                <c:pt idx="59">
                  <c:v>317329.2800000001</c:v>
                </c:pt>
                <c:pt idx="60">
                  <c:v>321644.6080000001</c:v>
                </c:pt>
                <c:pt idx="61">
                  <c:v>325959.9360000001</c:v>
                </c:pt>
                <c:pt idx="62">
                  <c:v>330275.2640000001</c:v>
                </c:pt>
                <c:pt idx="63">
                  <c:v>334590.5920000001</c:v>
                </c:pt>
                <c:pt idx="64">
                  <c:v>338905.9200000001</c:v>
                </c:pt>
                <c:pt idx="65">
                  <c:v>343221.2480000001</c:v>
                </c:pt>
                <c:pt idx="66">
                  <c:v>347536.5760000001</c:v>
                </c:pt>
                <c:pt idx="67">
                  <c:v>351851.9040000001</c:v>
                </c:pt>
                <c:pt idx="68">
                  <c:v>356167.2320000001</c:v>
                </c:pt>
                <c:pt idx="69">
                  <c:v>360482.5600000001</c:v>
                </c:pt>
                <c:pt idx="70">
                  <c:v>364797.8880000001</c:v>
                </c:pt>
                <c:pt idx="71">
                  <c:v>369113.2160000001</c:v>
                </c:pt>
                <c:pt idx="72">
                  <c:v>373428.5440000001</c:v>
                </c:pt>
                <c:pt idx="73">
                  <c:v>377743.8720000001</c:v>
                </c:pt>
                <c:pt idx="74">
                  <c:v>382059.2000000001</c:v>
                </c:pt>
                <c:pt idx="75">
                  <c:v>386374.5280000001</c:v>
                </c:pt>
                <c:pt idx="76">
                  <c:v>390689.8560000001</c:v>
                </c:pt>
                <c:pt idx="77">
                  <c:v>395005.1840000001</c:v>
                </c:pt>
                <c:pt idx="78">
                  <c:v>399320.5120000001</c:v>
                </c:pt>
                <c:pt idx="79">
                  <c:v>403635.8400000001</c:v>
                </c:pt>
                <c:pt idx="80">
                  <c:v>407951.1680000001</c:v>
                </c:pt>
                <c:pt idx="81">
                  <c:v>412266.4960000001</c:v>
                </c:pt>
                <c:pt idx="82">
                  <c:v>416581.8240000001</c:v>
                </c:pt>
                <c:pt idx="83">
                  <c:v>420897.1520000001</c:v>
                </c:pt>
                <c:pt idx="84">
                  <c:v>425212.4800000001</c:v>
                </c:pt>
                <c:pt idx="85">
                  <c:v>429527.8080000001</c:v>
                </c:pt>
                <c:pt idx="86">
                  <c:v>433843.1360000002</c:v>
                </c:pt>
                <c:pt idx="87">
                  <c:v>438158.4640000001</c:v>
                </c:pt>
                <c:pt idx="88">
                  <c:v>442473.7920000001</c:v>
                </c:pt>
                <c:pt idx="89">
                  <c:v>446789.1200000001</c:v>
                </c:pt>
                <c:pt idx="90">
                  <c:v>451104.4480000001</c:v>
                </c:pt>
                <c:pt idx="91">
                  <c:v>455419.7760000002</c:v>
                </c:pt>
                <c:pt idx="92">
                  <c:v>459735.1040000002</c:v>
                </c:pt>
                <c:pt idx="93">
                  <c:v>464050.4320000001</c:v>
                </c:pt>
                <c:pt idx="94">
                  <c:v>468365.7600000001</c:v>
                </c:pt>
                <c:pt idx="95">
                  <c:v>472681.0880000002</c:v>
                </c:pt>
                <c:pt idx="96">
                  <c:v>476996.4160000002</c:v>
                </c:pt>
                <c:pt idx="97">
                  <c:v>481311.7440000002</c:v>
                </c:pt>
                <c:pt idx="98">
                  <c:v>485627.0720000002</c:v>
                </c:pt>
                <c:pt idx="99">
                  <c:v>489942.4000000001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4032.0</c:v>
                </c:pt>
                <c:pt idx="1">
                  <c:v>4032.0</c:v>
                </c:pt>
                <c:pt idx="2">
                  <c:v>4032.0</c:v>
                </c:pt>
                <c:pt idx="3">
                  <c:v>4032.0</c:v>
                </c:pt>
                <c:pt idx="4">
                  <c:v>4032.0</c:v>
                </c:pt>
                <c:pt idx="5">
                  <c:v>4032.0</c:v>
                </c:pt>
                <c:pt idx="6">
                  <c:v>4032.0</c:v>
                </c:pt>
                <c:pt idx="7">
                  <c:v>4032.0</c:v>
                </c:pt>
                <c:pt idx="8">
                  <c:v>4032.0</c:v>
                </c:pt>
                <c:pt idx="9">
                  <c:v>4032.0</c:v>
                </c:pt>
                <c:pt idx="10">
                  <c:v>4032.0</c:v>
                </c:pt>
                <c:pt idx="11">
                  <c:v>4032.0</c:v>
                </c:pt>
                <c:pt idx="12">
                  <c:v>4032.0</c:v>
                </c:pt>
                <c:pt idx="13">
                  <c:v>4032.0</c:v>
                </c:pt>
                <c:pt idx="14">
                  <c:v>4032.0</c:v>
                </c:pt>
                <c:pt idx="15">
                  <c:v>4032.0</c:v>
                </c:pt>
                <c:pt idx="16">
                  <c:v>4032.0</c:v>
                </c:pt>
                <c:pt idx="17">
                  <c:v>4032.0</c:v>
                </c:pt>
                <c:pt idx="18">
                  <c:v>4032.0</c:v>
                </c:pt>
                <c:pt idx="19">
                  <c:v>4032.0</c:v>
                </c:pt>
                <c:pt idx="20">
                  <c:v>4032.0</c:v>
                </c:pt>
                <c:pt idx="21">
                  <c:v>4032.0</c:v>
                </c:pt>
                <c:pt idx="22">
                  <c:v>4032.0</c:v>
                </c:pt>
                <c:pt idx="23">
                  <c:v>4032.0</c:v>
                </c:pt>
                <c:pt idx="24">
                  <c:v>4032.0</c:v>
                </c:pt>
                <c:pt idx="25">
                  <c:v>4043.428571428572</c:v>
                </c:pt>
                <c:pt idx="26">
                  <c:v>4066.285714285715</c:v>
                </c:pt>
                <c:pt idx="27">
                  <c:v>4089.142857142858</c:v>
                </c:pt>
                <c:pt idx="28">
                  <c:v>4112.000000000001</c:v>
                </c:pt>
                <c:pt idx="29">
                  <c:v>4134.857142857143</c:v>
                </c:pt>
                <c:pt idx="30">
                  <c:v>4157.714285714286</c:v>
                </c:pt>
                <c:pt idx="31">
                  <c:v>4180.57142857143</c:v>
                </c:pt>
                <c:pt idx="32">
                  <c:v>4203.428571428572</c:v>
                </c:pt>
                <c:pt idx="33">
                  <c:v>4226.285714285715</c:v>
                </c:pt>
                <c:pt idx="34">
                  <c:v>4249.142857142858</c:v>
                </c:pt>
                <c:pt idx="35">
                  <c:v>4272.000000000001</c:v>
                </c:pt>
                <c:pt idx="36">
                  <c:v>4294.857142857143</c:v>
                </c:pt>
                <c:pt idx="37">
                  <c:v>4317.714285714286</c:v>
                </c:pt>
                <c:pt idx="38">
                  <c:v>4340.57142857143</c:v>
                </c:pt>
                <c:pt idx="39">
                  <c:v>4363.428571428572</c:v>
                </c:pt>
                <c:pt idx="40">
                  <c:v>4386.285714285715</c:v>
                </c:pt>
                <c:pt idx="41">
                  <c:v>4409.142857142858</c:v>
                </c:pt>
                <c:pt idx="42">
                  <c:v>4432.000000000001</c:v>
                </c:pt>
                <c:pt idx="43">
                  <c:v>4454.857142857144</c:v>
                </c:pt>
                <c:pt idx="44">
                  <c:v>4477.714285714286</c:v>
                </c:pt>
                <c:pt idx="45">
                  <c:v>4500.57142857143</c:v>
                </c:pt>
                <c:pt idx="46">
                  <c:v>4523.428571428572</c:v>
                </c:pt>
                <c:pt idx="47">
                  <c:v>4546.285714285716</c:v>
                </c:pt>
                <c:pt idx="48">
                  <c:v>4569.142857142858</c:v>
                </c:pt>
                <c:pt idx="49">
                  <c:v>4592.000000000001</c:v>
                </c:pt>
                <c:pt idx="50">
                  <c:v>8850.955200000002</c:v>
                </c:pt>
                <c:pt idx="51">
                  <c:v>9637.910400000002</c:v>
                </c:pt>
                <c:pt idx="52">
                  <c:v>10424.8656</c:v>
                </c:pt>
                <c:pt idx="53">
                  <c:v>11211.8208</c:v>
                </c:pt>
                <c:pt idx="54">
                  <c:v>11998.776</c:v>
                </c:pt>
                <c:pt idx="55">
                  <c:v>12785.7312</c:v>
                </c:pt>
                <c:pt idx="56">
                  <c:v>13572.6864</c:v>
                </c:pt>
                <c:pt idx="57">
                  <c:v>14359.6416</c:v>
                </c:pt>
                <c:pt idx="58">
                  <c:v>15146.5968</c:v>
                </c:pt>
                <c:pt idx="59">
                  <c:v>15933.552</c:v>
                </c:pt>
                <c:pt idx="60">
                  <c:v>16720.5072</c:v>
                </c:pt>
                <c:pt idx="61">
                  <c:v>17507.4624</c:v>
                </c:pt>
                <c:pt idx="62">
                  <c:v>18294.4176</c:v>
                </c:pt>
                <c:pt idx="63">
                  <c:v>19081.3728</c:v>
                </c:pt>
                <c:pt idx="64">
                  <c:v>19868.328</c:v>
                </c:pt>
                <c:pt idx="65">
                  <c:v>20655.2832</c:v>
                </c:pt>
                <c:pt idx="66">
                  <c:v>21442.2384</c:v>
                </c:pt>
                <c:pt idx="67">
                  <c:v>22229.1936</c:v>
                </c:pt>
                <c:pt idx="68">
                  <c:v>23016.1488</c:v>
                </c:pt>
                <c:pt idx="69">
                  <c:v>23803.104</c:v>
                </c:pt>
                <c:pt idx="70">
                  <c:v>24590.0592</c:v>
                </c:pt>
                <c:pt idx="71">
                  <c:v>25377.0144</c:v>
                </c:pt>
                <c:pt idx="72">
                  <c:v>26163.9696</c:v>
                </c:pt>
                <c:pt idx="73">
                  <c:v>26950.9248</c:v>
                </c:pt>
                <c:pt idx="74">
                  <c:v>27737.88</c:v>
                </c:pt>
                <c:pt idx="75">
                  <c:v>28524.8352</c:v>
                </c:pt>
                <c:pt idx="76">
                  <c:v>29311.7904</c:v>
                </c:pt>
                <c:pt idx="77">
                  <c:v>30098.7456</c:v>
                </c:pt>
                <c:pt idx="78">
                  <c:v>30885.7008</c:v>
                </c:pt>
                <c:pt idx="79">
                  <c:v>31672.656</c:v>
                </c:pt>
                <c:pt idx="80">
                  <c:v>32459.6112</c:v>
                </c:pt>
                <c:pt idx="81">
                  <c:v>33246.5664</c:v>
                </c:pt>
                <c:pt idx="82">
                  <c:v>34033.5216</c:v>
                </c:pt>
                <c:pt idx="83">
                  <c:v>34820.4768</c:v>
                </c:pt>
                <c:pt idx="84">
                  <c:v>35607.432</c:v>
                </c:pt>
                <c:pt idx="85">
                  <c:v>36394.3872</c:v>
                </c:pt>
                <c:pt idx="86">
                  <c:v>37181.3424</c:v>
                </c:pt>
                <c:pt idx="87">
                  <c:v>37968.2976</c:v>
                </c:pt>
                <c:pt idx="88">
                  <c:v>38755.2528</c:v>
                </c:pt>
                <c:pt idx="89">
                  <c:v>39542.208</c:v>
                </c:pt>
                <c:pt idx="90">
                  <c:v>40329.1632</c:v>
                </c:pt>
                <c:pt idx="91">
                  <c:v>41116.1184</c:v>
                </c:pt>
                <c:pt idx="92">
                  <c:v>41903.0736</c:v>
                </c:pt>
                <c:pt idx="93">
                  <c:v>42690.0288</c:v>
                </c:pt>
                <c:pt idx="94">
                  <c:v>43476.984</c:v>
                </c:pt>
                <c:pt idx="95">
                  <c:v>44263.9392</c:v>
                </c:pt>
                <c:pt idx="96">
                  <c:v>45050.8944</c:v>
                </c:pt>
                <c:pt idx="97">
                  <c:v>45837.8496</c:v>
                </c:pt>
                <c:pt idx="98">
                  <c:v>46624.8048</c:v>
                </c:pt>
                <c:pt idx="99">
                  <c:v>47411.76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19.2</c:v>
                </c:pt>
                <c:pt idx="26">
                  <c:v>57.60000000000001</c:v>
                </c:pt>
                <c:pt idx="27">
                  <c:v>96.00000000000001</c:v>
                </c:pt>
                <c:pt idx="28">
                  <c:v>134.4</c:v>
                </c:pt>
                <c:pt idx="29">
                  <c:v>172.8</c:v>
                </c:pt>
                <c:pt idx="30">
                  <c:v>211.2</c:v>
                </c:pt>
                <c:pt idx="31">
                  <c:v>249.6</c:v>
                </c:pt>
                <c:pt idx="32">
                  <c:v>288.0000000000001</c:v>
                </c:pt>
                <c:pt idx="33">
                  <c:v>326.4</c:v>
                </c:pt>
                <c:pt idx="34">
                  <c:v>364.8000000000001</c:v>
                </c:pt>
                <c:pt idx="35">
                  <c:v>403.2</c:v>
                </c:pt>
                <c:pt idx="36">
                  <c:v>441.6000000000001</c:v>
                </c:pt>
                <c:pt idx="37">
                  <c:v>480.0000000000001</c:v>
                </c:pt>
                <c:pt idx="38">
                  <c:v>518.4000000000001</c:v>
                </c:pt>
                <c:pt idx="39">
                  <c:v>556.8000000000001</c:v>
                </c:pt>
                <c:pt idx="40">
                  <c:v>595.2</c:v>
                </c:pt>
                <c:pt idx="41">
                  <c:v>633.6000000000001</c:v>
                </c:pt>
                <c:pt idx="42">
                  <c:v>672.0000000000001</c:v>
                </c:pt>
                <c:pt idx="43">
                  <c:v>710.4000000000001</c:v>
                </c:pt>
                <c:pt idx="44">
                  <c:v>748.8000000000001</c:v>
                </c:pt>
                <c:pt idx="45">
                  <c:v>787.2000000000001</c:v>
                </c:pt>
                <c:pt idx="46">
                  <c:v>825.6000000000001</c:v>
                </c:pt>
                <c:pt idx="47">
                  <c:v>864.0000000000001</c:v>
                </c:pt>
                <c:pt idx="48">
                  <c:v>902.4000000000001</c:v>
                </c:pt>
                <c:pt idx="49">
                  <c:v>940.8000000000002</c:v>
                </c:pt>
                <c:pt idx="50">
                  <c:v>19392.9289</c:v>
                </c:pt>
                <c:pt idx="51">
                  <c:v>19432.2578</c:v>
                </c:pt>
                <c:pt idx="52">
                  <c:v>19471.5867</c:v>
                </c:pt>
                <c:pt idx="53">
                  <c:v>19510.9156</c:v>
                </c:pt>
                <c:pt idx="54">
                  <c:v>19550.2445</c:v>
                </c:pt>
                <c:pt idx="55">
                  <c:v>19589.5734</c:v>
                </c:pt>
                <c:pt idx="56">
                  <c:v>19628.9023</c:v>
                </c:pt>
                <c:pt idx="57">
                  <c:v>19668.2312</c:v>
                </c:pt>
                <c:pt idx="58">
                  <c:v>19707.5601</c:v>
                </c:pt>
                <c:pt idx="59">
                  <c:v>19746.889</c:v>
                </c:pt>
                <c:pt idx="60">
                  <c:v>19786.2179</c:v>
                </c:pt>
                <c:pt idx="61">
                  <c:v>19825.5468</c:v>
                </c:pt>
                <c:pt idx="62">
                  <c:v>19864.8757</c:v>
                </c:pt>
                <c:pt idx="63">
                  <c:v>19904.2046</c:v>
                </c:pt>
                <c:pt idx="64">
                  <c:v>19943.5335</c:v>
                </c:pt>
                <c:pt idx="65">
                  <c:v>19982.8624</c:v>
                </c:pt>
                <c:pt idx="66">
                  <c:v>20022.1913</c:v>
                </c:pt>
                <c:pt idx="67">
                  <c:v>20061.5202</c:v>
                </c:pt>
                <c:pt idx="68">
                  <c:v>20100.8491</c:v>
                </c:pt>
                <c:pt idx="69">
                  <c:v>20140.178</c:v>
                </c:pt>
                <c:pt idx="70">
                  <c:v>20179.5069</c:v>
                </c:pt>
                <c:pt idx="71">
                  <c:v>20218.8358</c:v>
                </c:pt>
                <c:pt idx="72">
                  <c:v>20258.1647</c:v>
                </c:pt>
                <c:pt idx="73">
                  <c:v>20297.4936</c:v>
                </c:pt>
                <c:pt idx="74">
                  <c:v>20336.8225</c:v>
                </c:pt>
                <c:pt idx="75">
                  <c:v>20376.1514</c:v>
                </c:pt>
                <c:pt idx="76">
                  <c:v>20415.4803</c:v>
                </c:pt>
                <c:pt idx="77">
                  <c:v>20454.8092</c:v>
                </c:pt>
                <c:pt idx="78">
                  <c:v>20494.1381</c:v>
                </c:pt>
                <c:pt idx="79">
                  <c:v>20533.467</c:v>
                </c:pt>
                <c:pt idx="80">
                  <c:v>20572.7959</c:v>
                </c:pt>
                <c:pt idx="81">
                  <c:v>20612.1248</c:v>
                </c:pt>
                <c:pt idx="82">
                  <c:v>20651.4537</c:v>
                </c:pt>
                <c:pt idx="83">
                  <c:v>20690.7826</c:v>
                </c:pt>
                <c:pt idx="84">
                  <c:v>20730.1115</c:v>
                </c:pt>
                <c:pt idx="85">
                  <c:v>20769.4404</c:v>
                </c:pt>
                <c:pt idx="86">
                  <c:v>20808.7693</c:v>
                </c:pt>
                <c:pt idx="87">
                  <c:v>20848.0982</c:v>
                </c:pt>
                <c:pt idx="88">
                  <c:v>20887.4271</c:v>
                </c:pt>
                <c:pt idx="89">
                  <c:v>20926.756</c:v>
                </c:pt>
                <c:pt idx="90">
                  <c:v>20966.0849</c:v>
                </c:pt>
                <c:pt idx="91">
                  <c:v>21005.4138</c:v>
                </c:pt>
                <c:pt idx="92">
                  <c:v>21044.7427</c:v>
                </c:pt>
                <c:pt idx="93">
                  <c:v>21084.0716</c:v>
                </c:pt>
                <c:pt idx="94">
                  <c:v>21123.4005</c:v>
                </c:pt>
                <c:pt idx="95">
                  <c:v>21162.7294</c:v>
                </c:pt>
                <c:pt idx="96">
                  <c:v>21202.0583</c:v>
                </c:pt>
                <c:pt idx="97">
                  <c:v>21241.3872</c:v>
                </c:pt>
                <c:pt idx="98">
                  <c:v>21280.7161</c:v>
                </c:pt>
                <c:pt idx="99">
                  <c:v>21320.045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666.2612884376946</c:v>
                </c:pt>
                <c:pt idx="1">
                  <c:v>666.2612884376946</c:v>
                </c:pt>
                <c:pt idx="2">
                  <c:v>666.2612884376946</c:v>
                </c:pt>
                <c:pt idx="3">
                  <c:v>666.2612884376946</c:v>
                </c:pt>
                <c:pt idx="4">
                  <c:v>666.2612884376946</c:v>
                </c:pt>
                <c:pt idx="5">
                  <c:v>666.2612884376946</c:v>
                </c:pt>
                <c:pt idx="6">
                  <c:v>666.2612884376946</c:v>
                </c:pt>
                <c:pt idx="7">
                  <c:v>666.2612884376946</c:v>
                </c:pt>
                <c:pt idx="8">
                  <c:v>666.2612884376946</c:v>
                </c:pt>
                <c:pt idx="9">
                  <c:v>666.2612884376946</c:v>
                </c:pt>
                <c:pt idx="10">
                  <c:v>666.2612884376946</c:v>
                </c:pt>
                <c:pt idx="11">
                  <c:v>666.2612884376946</c:v>
                </c:pt>
                <c:pt idx="12">
                  <c:v>666.2612884376946</c:v>
                </c:pt>
                <c:pt idx="13">
                  <c:v>666.2612884376946</c:v>
                </c:pt>
                <c:pt idx="14">
                  <c:v>666.2612884376946</c:v>
                </c:pt>
                <c:pt idx="15">
                  <c:v>666.2612884376946</c:v>
                </c:pt>
                <c:pt idx="16">
                  <c:v>666.2612884376946</c:v>
                </c:pt>
                <c:pt idx="17">
                  <c:v>666.2612884376946</c:v>
                </c:pt>
                <c:pt idx="18">
                  <c:v>666.2612884376946</c:v>
                </c:pt>
                <c:pt idx="19">
                  <c:v>666.2612884376946</c:v>
                </c:pt>
                <c:pt idx="20">
                  <c:v>666.2612884376946</c:v>
                </c:pt>
                <c:pt idx="21">
                  <c:v>666.2612884376946</c:v>
                </c:pt>
                <c:pt idx="22">
                  <c:v>666.2612884376946</c:v>
                </c:pt>
                <c:pt idx="23">
                  <c:v>666.2612884376946</c:v>
                </c:pt>
                <c:pt idx="24">
                  <c:v>666.2612884376946</c:v>
                </c:pt>
                <c:pt idx="25">
                  <c:v>666.0124513551782</c:v>
                </c:pt>
                <c:pt idx="26">
                  <c:v>665.5147771901453</c:v>
                </c:pt>
                <c:pt idx="27">
                  <c:v>665.0171030251125</c:v>
                </c:pt>
                <c:pt idx="28">
                  <c:v>664.5194288600798</c:v>
                </c:pt>
                <c:pt idx="29">
                  <c:v>664.0217546950469</c:v>
                </c:pt>
                <c:pt idx="30">
                  <c:v>663.524080530014</c:v>
                </c:pt>
                <c:pt idx="31">
                  <c:v>663.0264063649812</c:v>
                </c:pt>
                <c:pt idx="32">
                  <c:v>662.5287321999484</c:v>
                </c:pt>
                <c:pt idx="33">
                  <c:v>662.0310580349156</c:v>
                </c:pt>
                <c:pt idx="34">
                  <c:v>661.5333838698827</c:v>
                </c:pt>
                <c:pt idx="35">
                  <c:v>661.03570970485</c:v>
                </c:pt>
                <c:pt idx="36">
                  <c:v>660.538035539817</c:v>
                </c:pt>
                <c:pt idx="37">
                  <c:v>660.0403613747843</c:v>
                </c:pt>
                <c:pt idx="38">
                  <c:v>659.5426872097514</c:v>
                </c:pt>
                <c:pt idx="39">
                  <c:v>659.0450130447186</c:v>
                </c:pt>
                <c:pt idx="40">
                  <c:v>658.5473388796858</c:v>
                </c:pt>
                <c:pt idx="41">
                  <c:v>658.049664714653</c:v>
                </c:pt>
                <c:pt idx="42">
                  <c:v>657.5519905496201</c:v>
                </c:pt>
                <c:pt idx="43">
                  <c:v>657.0543163845873</c:v>
                </c:pt>
                <c:pt idx="44">
                  <c:v>656.5566422195545</c:v>
                </c:pt>
                <c:pt idx="45">
                  <c:v>656.0589680545218</c:v>
                </c:pt>
                <c:pt idx="46">
                  <c:v>655.5612938894889</c:v>
                </c:pt>
                <c:pt idx="47">
                  <c:v>655.0636197244561</c:v>
                </c:pt>
                <c:pt idx="48">
                  <c:v>654.5659455594232</c:v>
                </c:pt>
                <c:pt idx="49">
                  <c:v>654.0682713943904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22378.61731098187</c:v>
                </c:pt>
                <c:pt idx="1">
                  <c:v>22378.61731098187</c:v>
                </c:pt>
                <c:pt idx="2">
                  <c:v>22378.61731098187</c:v>
                </c:pt>
                <c:pt idx="3">
                  <c:v>22378.61731098187</c:v>
                </c:pt>
                <c:pt idx="4">
                  <c:v>22378.61731098187</c:v>
                </c:pt>
                <c:pt idx="5">
                  <c:v>22378.61731098187</c:v>
                </c:pt>
                <c:pt idx="6">
                  <c:v>22378.61731098187</c:v>
                </c:pt>
                <c:pt idx="7">
                  <c:v>22378.61731098187</c:v>
                </c:pt>
                <c:pt idx="8">
                  <c:v>22378.61731098187</c:v>
                </c:pt>
                <c:pt idx="9">
                  <c:v>22378.61731098187</c:v>
                </c:pt>
                <c:pt idx="10">
                  <c:v>22378.61731098187</c:v>
                </c:pt>
                <c:pt idx="11">
                  <c:v>22378.61731098187</c:v>
                </c:pt>
                <c:pt idx="12">
                  <c:v>22378.61731098187</c:v>
                </c:pt>
                <c:pt idx="13">
                  <c:v>22378.61731098187</c:v>
                </c:pt>
                <c:pt idx="14">
                  <c:v>22378.61731098187</c:v>
                </c:pt>
                <c:pt idx="15">
                  <c:v>22378.61731098187</c:v>
                </c:pt>
                <c:pt idx="16">
                  <c:v>22378.61731098187</c:v>
                </c:pt>
                <c:pt idx="17">
                  <c:v>22378.61731098187</c:v>
                </c:pt>
                <c:pt idx="18">
                  <c:v>22378.61731098187</c:v>
                </c:pt>
                <c:pt idx="19">
                  <c:v>22378.61731098187</c:v>
                </c:pt>
                <c:pt idx="20">
                  <c:v>22378.61731098187</c:v>
                </c:pt>
                <c:pt idx="21">
                  <c:v>22378.61731098187</c:v>
                </c:pt>
                <c:pt idx="22">
                  <c:v>22378.61731098187</c:v>
                </c:pt>
                <c:pt idx="23">
                  <c:v>22378.61731098187</c:v>
                </c:pt>
                <c:pt idx="24">
                  <c:v>22378.61731098187</c:v>
                </c:pt>
                <c:pt idx="25">
                  <c:v>22378.61731098187</c:v>
                </c:pt>
                <c:pt idx="26">
                  <c:v>22378.61731098187</c:v>
                </c:pt>
                <c:pt idx="27">
                  <c:v>22378.61731098187</c:v>
                </c:pt>
                <c:pt idx="28">
                  <c:v>22378.61731098187</c:v>
                </c:pt>
                <c:pt idx="29">
                  <c:v>22378.61731098187</c:v>
                </c:pt>
                <c:pt idx="30">
                  <c:v>22378.61731098187</c:v>
                </c:pt>
                <c:pt idx="31">
                  <c:v>22378.61731098187</c:v>
                </c:pt>
                <c:pt idx="32">
                  <c:v>22378.61731098187</c:v>
                </c:pt>
                <c:pt idx="33">
                  <c:v>22378.61731098187</c:v>
                </c:pt>
                <c:pt idx="34">
                  <c:v>22378.61731098187</c:v>
                </c:pt>
                <c:pt idx="35">
                  <c:v>22378.61731098187</c:v>
                </c:pt>
                <c:pt idx="36">
                  <c:v>22378.61731098187</c:v>
                </c:pt>
                <c:pt idx="37">
                  <c:v>22378.61731098187</c:v>
                </c:pt>
                <c:pt idx="38">
                  <c:v>22378.61731098187</c:v>
                </c:pt>
                <c:pt idx="39">
                  <c:v>22378.61731098187</c:v>
                </c:pt>
                <c:pt idx="40">
                  <c:v>22378.61731098187</c:v>
                </c:pt>
                <c:pt idx="41">
                  <c:v>22378.61731098187</c:v>
                </c:pt>
                <c:pt idx="42">
                  <c:v>22378.61731098187</c:v>
                </c:pt>
                <c:pt idx="43">
                  <c:v>22378.61731098187</c:v>
                </c:pt>
                <c:pt idx="44">
                  <c:v>22378.61731098187</c:v>
                </c:pt>
                <c:pt idx="45">
                  <c:v>22378.61731098187</c:v>
                </c:pt>
                <c:pt idx="46">
                  <c:v>22378.61731098187</c:v>
                </c:pt>
                <c:pt idx="47">
                  <c:v>22378.61731098187</c:v>
                </c:pt>
                <c:pt idx="48">
                  <c:v>22378.61731098187</c:v>
                </c:pt>
                <c:pt idx="49">
                  <c:v>22378.61731098187</c:v>
                </c:pt>
                <c:pt idx="50">
                  <c:v>11027.90322405063</c:v>
                </c:pt>
                <c:pt idx="51">
                  <c:v>11197.73252405063</c:v>
                </c:pt>
                <c:pt idx="52">
                  <c:v>11367.56182405063</c:v>
                </c:pt>
                <c:pt idx="53">
                  <c:v>11537.39112405063</c:v>
                </c:pt>
                <c:pt idx="54">
                  <c:v>11707.22042405063</c:v>
                </c:pt>
                <c:pt idx="55">
                  <c:v>11877.04972405063</c:v>
                </c:pt>
                <c:pt idx="56">
                  <c:v>12046.87902405063</c:v>
                </c:pt>
                <c:pt idx="57">
                  <c:v>12216.70832405063</c:v>
                </c:pt>
                <c:pt idx="58">
                  <c:v>12386.53762405063</c:v>
                </c:pt>
                <c:pt idx="59">
                  <c:v>12556.36692405063</c:v>
                </c:pt>
                <c:pt idx="60">
                  <c:v>12726.19622405063</c:v>
                </c:pt>
                <c:pt idx="61">
                  <c:v>12896.02552405063</c:v>
                </c:pt>
                <c:pt idx="62">
                  <c:v>13065.85482405063</c:v>
                </c:pt>
                <c:pt idx="63">
                  <c:v>13235.68412405063</c:v>
                </c:pt>
                <c:pt idx="64">
                  <c:v>13405.51342405063</c:v>
                </c:pt>
                <c:pt idx="65">
                  <c:v>13575.34272405063</c:v>
                </c:pt>
                <c:pt idx="66">
                  <c:v>13745.17202405063</c:v>
                </c:pt>
                <c:pt idx="67">
                  <c:v>13915.00132405063</c:v>
                </c:pt>
                <c:pt idx="68">
                  <c:v>14084.83062405063</c:v>
                </c:pt>
                <c:pt idx="69">
                  <c:v>14254.65992405063</c:v>
                </c:pt>
                <c:pt idx="70">
                  <c:v>14424.48922405063</c:v>
                </c:pt>
                <c:pt idx="71">
                  <c:v>14594.31852405063</c:v>
                </c:pt>
                <c:pt idx="72">
                  <c:v>14764.14782405063</c:v>
                </c:pt>
                <c:pt idx="73">
                  <c:v>14933.97712405063</c:v>
                </c:pt>
                <c:pt idx="74">
                  <c:v>15103.80642405063</c:v>
                </c:pt>
                <c:pt idx="75">
                  <c:v>15273.63572405063</c:v>
                </c:pt>
                <c:pt idx="76">
                  <c:v>15443.46502405063</c:v>
                </c:pt>
                <c:pt idx="77">
                  <c:v>15613.29432405063</c:v>
                </c:pt>
                <c:pt idx="78">
                  <c:v>15783.12362405063</c:v>
                </c:pt>
                <c:pt idx="79">
                  <c:v>15952.95292405063</c:v>
                </c:pt>
                <c:pt idx="80">
                  <c:v>16122.78222405063</c:v>
                </c:pt>
                <c:pt idx="81">
                  <c:v>16292.61152405063</c:v>
                </c:pt>
                <c:pt idx="82">
                  <c:v>16462.44082405062</c:v>
                </c:pt>
                <c:pt idx="83">
                  <c:v>16632.27012405062</c:v>
                </c:pt>
                <c:pt idx="84">
                  <c:v>16802.09942405063</c:v>
                </c:pt>
                <c:pt idx="85">
                  <c:v>16971.92872405062</c:v>
                </c:pt>
                <c:pt idx="86">
                  <c:v>17141.75802405062</c:v>
                </c:pt>
                <c:pt idx="87">
                  <c:v>17311.58732405063</c:v>
                </c:pt>
                <c:pt idx="88">
                  <c:v>17481.41662405062</c:v>
                </c:pt>
                <c:pt idx="89">
                  <c:v>17651.24592405063</c:v>
                </c:pt>
                <c:pt idx="90">
                  <c:v>17821.07522405062</c:v>
                </c:pt>
                <c:pt idx="91">
                  <c:v>17990.90452405062</c:v>
                </c:pt>
                <c:pt idx="92">
                  <c:v>18160.73382405062</c:v>
                </c:pt>
                <c:pt idx="93">
                  <c:v>18330.56312405062</c:v>
                </c:pt>
                <c:pt idx="94">
                  <c:v>18500.39242405062</c:v>
                </c:pt>
                <c:pt idx="95">
                  <c:v>18670.22172405062</c:v>
                </c:pt>
                <c:pt idx="96">
                  <c:v>18840.05102405062</c:v>
                </c:pt>
                <c:pt idx="97">
                  <c:v>19009.88032405062</c:v>
                </c:pt>
                <c:pt idx="98">
                  <c:v>19179.70962405062</c:v>
                </c:pt>
                <c:pt idx="99">
                  <c:v>19349.53892405062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2688.0</c:v>
                </c:pt>
                <c:pt idx="1">
                  <c:v>2688.0</c:v>
                </c:pt>
                <c:pt idx="2">
                  <c:v>2688.0</c:v>
                </c:pt>
                <c:pt idx="3">
                  <c:v>2688.0</c:v>
                </c:pt>
                <c:pt idx="4">
                  <c:v>2688.0</c:v>
                </c:pt>
                <c:pt idx="5">
                  <c:v>2688.0</c:v>
                </c:pt>
                <c:pt idx="6">
                  <c:v>2688.0</c:v>
                </c:pt>
                <c:pt idx="7">
                  <c:v>2688.0</c:v>
                </c:pt>
                <c:pt idx="8">
                  <c:v>2688.0</c:v>
                </c:pt>
                <c:pt idx="9">
                  <c:v>2688.0</c:v>
                </c:pt>
                <c:pt idx="10">
                  <c:v>2688.0</c:v>
                </c:pt>
                <c:pt idx="11">
                  <c:v>2688.0</c:v>
                </c:pt>
                <c:pt idx="12">
                  <c:v>2688.0</c:v>
                </c:pt>
                <c:pt idx="13">
                  <c:v>2688.0</c:v>
                </c:pt>
                <c:pt idx="14">
                  <c:v>2688.0</c:v>
                </c:pt>
                <c:pt idx="15">
                  <c:v>2688.0</c:v>
                </c:pt>
                <c:pt idx="16">
                  <c:v>2688.0</c:v>
                </c:pt>
                <c:pt idx="17">
                  <c:v>2688.0</c:v>
                </c:pt>
                <c:pt idx="18">
                  <c:v>2688.0</c:v>
                </c:pt>
                <c:pt idx="19">
                  <c:v>2688.0</c:v>
                </c:pt>
                <c:pt idx="20">
                  <c:v>2688.0</c:v>
                </c:pt>
                <c:pt idx="21">
                  <c:v>2688.0</c:v>
                </c:pt>
                <c:pt idx="22">
                  <c:v>2688.0</c:v>
                </c:pt>
                <c:pt idx="23">
                  <c:v>2688.0</c:v>
                </c:pt>
                <c:pt idx="24">
                  <c:v>2688.0</c:v>
                </c:pt>
                <c:pt idx="25">
                  <c:v>2715.428571428572</c:v>
                </c:pt>
                <c:pt idx="26">
                  <c:v>2770.285714285715</c:v>
                </c:pt>
                <c:pt idx="27">
                  <c:v>2825.142857142858</c:v>
                </c:pt>
                <c:pt idx="28">
                  <c:v>2880.0</c:v>
                </c:pt>
                <c:pt idx="29">
                  <c:v>2934.857142857143</c:v>
                </c:pt>
                <c:pt idx="30">
                  <c:v>2989.714285714286</c:v>
                </c:pt>
                <c:pt idx="31">
                  <c:v>3044.571428571428</c:v>
                </c:pt>
                <c:pt idx="32">
                  <c:v>3099.428571428572</c:v>
                </c:pt>
                <c:pt idx="33">
                  <c:v>3154.285714285715</c:v>
                </c:pt>
                <c:pt idx="34">
                  <c:v>3209.142857142858</c:v>
                </c:pt>
                <c:pt idx="35">
                  <c:v>3264.0</c:v>
                </c:pt>
                <c:pt idx="36">
                  <c:v>3318.857142857143</c:v>
                </c:pt>
                <c:pt idx="37">
                  <c:v>3373.714285714286</c:v>
                </c:pt>
                <c:pt idx="38">
                  <c:v>3428.571428571428</c:v>
                </c:pt>
                <c:pt idx="39">
                  <c:v>3483.428571428572</c:v>
                </c:pt>
                <c:pt idx="40">
                  <c:v>3538.285714285715</c:v>
                </c:pt>
                <c:pt idx="41">
                  <c:v>3593.142857142858</c:v>
                </c:pt>
                <c:pt idx="42">
                  <c:v>3648.0</c:v>
                </c:pt>
                <c:pt idx="43">
                  <c:v>3702.857142857143</c:v>
                </c:pt>
                <c:pt idx="44">
                  <c:v>3757.714285714286</c:v>
                </c:pt>
                <c:pt idx="45">
                  <c:v>3812.571428571428</c:v>
                </c:pt>
                <c:pt idx="46">
                  <c:v>3867.428571428572</c:v>
                </c:pt>
                <c:pt idx="47">
                  <c:v>3922.285714285715</c:v>
                </c:pt>
                <c:pt idx="48">
                  <c:v>3977.142857142858</c:v>
                </c:pt>
                <c:pt idx="49">
                  <c:v>4032.0</c:v>
                </c:pt>
                <c:pt idx="50">
                  <c:v>48361.15670000001</c:v>
                </c:pt>
                <c:pt idx="51">
                  <c:v>48338.31340000001</c:v>
                </c:pt>
                <c:pt idx="52">
                  <c:v>48315.47010000001</c:v>
                </c:pt>
                <c:pt idx="53">
                  <c:v>48292.62680000001</c:v>
                </c:pt>
                <c:pt idx="54">
                  <c:v>48269.78350000001</c:v>
                </c:pt>
                <c:pt idx="55">
                  <c:v>48246.94020000001</c:v>
                </c:pt>
                <c:pt idx="56">
                  <c:v>48224.09690000001</c:v>
                </c:pt>
                <c:pt idx="57">
                  <c:v>48201.25360000001</c:v>
                </c:pt>
                <c:pt idx="58">
                  <c:v>48178.41030000002</c:v>
                </c:pt>
                <c:pt idx="59">
                  <c:v>48155.56700000002</c:v>
                </c:pt>
                <c:pt idx="60">
                  <c:v>48132.72370000002</c:v>
                </c:pt>
                <c:pt idx="61">
                  <c:v>48109.88040000002</c:v>
                </c:pt>
                <c:pt idx="62">
                  <c:v>48087.03710000002</c:v>
                </c:pt>
                <c:pt idx="63">
                  <c:v>48064.19380000002</c:v>
                </c:pt>
                <c:pt idx="64">
                  <c:v>48041.35050000001</c:v>
                </c:pt>
                <c:pt idx="65">
                  <c:v>48018.50720000001</c:v>
                </c:pt>
                <c:pt idx="66">
                  <c:v>47995.66390000001</c:v>
                </c:pt>
                <c:pt idx="67">
                  <c:v>47972.82060000001</c:v>
                </c:pt>
                <c:pt idx="68">
                  <c:v>47949.97730000001</c:v>
                </c:pt>
                <c:pt idx="69">
                  <c:v>47927.13400000001</c:v>
                </c:pt>
                <c:pt idx="70">
                  <c:v>47904.29070000001</c:v>
                </c:pt>
                <c:pt idx="71">
                  <c:v>47881.44740000001</c:v>
                </c:pt>
                <c:pt idx="72">
                  <c:v>47858.60410000001</c:v>
                </c:pt>
                <c:pt idx="73">
                  <c:v>47835.76080000002</c:v>
                </c:pt>
                <c:pt idx="74">
                  <c:v>47812.91750000002</c:v>
                </c:pt>
                <c:pt idx="75">
                  <c:v>47790.07420000002</c:v>
                </c:pt>
                <c:pt idx="76">
                  <c:v>47767.23090000002</c:v>
                </c:pt>
                <c:pt idx="77">
                  <c:v>47744.38760000002</c:v>
                </c:pt>
                <c:pt idx="78">
                  <c:v>47721.54430000002</c:v>
                </c:pt>
                <c:pt idx="79">
                  <c:v>47698.70100000002</c:v>
                </c:pt>
                <c:pt idx="80">
                  <c:v>47675.85770000002</c:v>
                </c:pt>
                <c:pt idx="81">
                  <c:v>47653.01440000001</c:v>
                </c:pt>
                <c:pt idx="82">
                  <c:v>47630.17110000001</c:v>
                </c:pt>
                <c:pt idx="83">
                  <c:v>47607.32780000001</c:v>
                </c:pt>
                <c:pt idx="84">
                  <c:v>47584.48450000001</c:v>
                </c:pt>
                <c:pt idx="85">
                  <c:v>47561.64120000001</c:v>
                </c:pt>
                <c:pt idx="86">
                  <c:v>47538.79790000001</c:v>
                </c:pt>
                <c:pt idx="87">
                  <c:v>47515.95460000001</c:v>
                </c:pt>
                <c:pt idx="88">
                  <c:v>47493.11130000001</c:v>
                </c:pt>
                <c:pt idx="89">
                  <c:v>47470.26800000001</c:v>
                </c:pt>
                <c:pt idx="90">
                  <c:v>47447.42470000002</c:v>
                </c:pt>
                <c:pt idx="91">
                  <c:v>47424.58140000002</c:v>
                </c:pt>
                <c:pt idx="92">
                  <c:v>47401.73810000002</c:v>
                </c:pt>
                <c:pt idx="93">
                  <c:v>47378.89480000002</c:v>
                </c:pt>
                <c:pt idx="94">
                  <c:v>47356.05150000002</c:v>
                </c:pt>
                <c:pt idx="95">
                  <c:v>47333.20820000002</c:v>
                </c:pt>
                <c:pt idx="96">
                  <c:v>47310.36490000002</c:v>
                </c:pt>
                <c:pt idx="97">
                  <c:v>47287.52160000001</c:v>
                </c:pt>
                <c:pt idx="98">
                  <c:v>47264.67830000001</c:v>
                </c:pt>
                <c:pt idx="99">
                  <c:v>47241.83500000001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530904"/>
        <c:axId val="1869532664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18678.90446395996</c:v>
                </c:pt>
                <c:pt idx="1">
                  <c:v>18678.90446395996</c:v>
                </c:pt>
                <c:pt idx="2">
                  <c:v>18678.90446395996</c:v>
                </c:pt>
                <c:pt idx="3">
                  <c:v>18678.90446395996</c:v>
                </c:pt>
                <c:pt idx="4">
                  <c:v>18678.90446395996</c:v>
                </c:pt>
                <c:pt idx="5">
                  <c:v>18678.90446395996</c:v>
                </c:pt>
                <c:pt idx="6">
                  <c:v>18678.90446395996</c:v>
                </c:pt>
                <c:pt idx="7">
                  <c:v>18678.90446395996</c:v>
                </c:pt>
                <c:pt idx="8">
                  <c:v>18678.90446395996</c:v>
                </c:pt>
                <c:pt idx="9">
                  <c:v>18678.90446395996</c:v>
                </c:pt>
                <c:pt idx="10">
                  <c:v>18678.90446395996</c:v>
                </c:pt>
                <c:pt idx="11">
                  <c:v>18678.90446395996</c:v>
                </c:pt>
                <c:pt idx="12">
                  <c:v>18678.90446395996</c:v>
                </c:pt>
                <c:pt idx="13">
                  <c:v>18678.90446395996</c:v>
                </c:pt>
                <c:pt idx="14">
                  <c:v>18678.90446395996</c:v>
                </c:pt>
                <c:pt idx="15">
                  <c:v>18678.90446395996</c:v>
                </c:pt>
                <c:pt idx="16">
                  <c:v>18678.90446395996</c:v>
                </c:pt>
                <c:pt idx="17">
                  <c:v>18678.90446395996</c:v>
                </c:pt>
                <c:pt idx="18">
                  <c:v>18678.90446395996</c:v>
                </c:pt>
                <c:pt idx="19">
                  <c:v>18678.90446395996</c:v>
                </c:pt>
                <c:pt idx="20">
                  <c:v>18678.90446395996</c:v>
                </c:pt>
                <c:pt idx="21">
                  <c:v>18678.90446395996</c:v>
                </c:pt>
                <c:pt idx="22">
                  <c:v>18678.90446395996</c:v>
                </c:pt>
                <c:pt idx="23">
                  <c:v>18678.90446395996</c:v>
                </c:pt>
                <c:pt idx="24">
                  <c:v>18678.90446395996</c:v>
                </c:pt>
                <c:pt idx="25">
                  <c:v>18678.90446395996</c:v>
                </c:pt>
                <c:pt idx="26">
                  <c:v>18678.90446395996</c:v>
                </c:pt>
                <c:pt idx="27">
                  <c:v>18678.90446395996</c:v>
                </c:pt>
                <c:pt idx="28">
                  <c:v>18678.90446395996</c:v>
                </c:pt>
                <c:pt idx="29">
                  <c:v>18678.90446395996</c:v>
                </c:pt>
                <c:pt idx="30">
                  <c:v>18678.90446395996</c:v>
                </c:pt>
                <c:pt idx="31">
                  <c:v>18678.90446395996</c:v>
                </c:pt>
                <c:pt idx="32">
                  <c:v>18678.90446395996</c:v>
                </c:pt>
                <c:pt idx="33">
                  <c:v>18678.90446395996</c:v>
                </c:pt>
                <c:pt idx="34">
                  <c:v>18678.90446395996</c:v>
                </c:pt>
                <c:pt idx="35">
                  <c:v>18678.90446395996</c:v>
                </c:pt>
                <c:pt idx="36">
                  <c:v>18678.90446395996</c:v>
                </c:pt>
                <c:pt idx="37">
                  <c:v>18678.90446395996</c:v>
                </c:pt>
                <c:pt idx="38">
                  <c:v>18678.90446395996</c:v>
                </c:pt>
                <c:pt idx="39">
                  <c:v>18678.90446395996</c:v>
                </c:pt>
                <c:pt idx="40">
                  <c:v>18678.90446395996</c:v>
                </c:pt>
                <c:pt idx="41">
                  <c:v>18678.90446395996</c:v>
                </c:pt>
                <c:pt idx="42">
                  <c:v>18678.90446395996</c:v>
                </c:pt>
                <c:pt idx="43">
                  <c:v>18678.90446395996</c:v>
                </c:pt>
                <c:pt idx="44">
                  <c:v>18678.90446395996</c:v>
                </c:pt>
                <c:pt idx="45">
                  <c:v>18678.90446395996</c:v>
                </c:pt>
                <c:pt idx="46">
                  <c:v>18678.90446395996</c:v>
                </c:pt>
                <c:pt idx="47">
                  <c:v>18678.90446395996</c:v>
                </c:pt>
                <c:pt idx="48">
                  <c:v>18678.90446395996</c:v>
                </c:pt>
                <c:pt idx="49">
                  <c:v>18678.90446395997</c:v>
                </c:pt>
                <c:pt idx="50">
                  <c:v>18678.90446395997</c:v>
                </c:pt>
                <c:pt idx="51">
                  <c:v>18678.90446395997</c:v>
                </c:pt>
                <c:pt idx="52">
                  <c:v>18678.90446395997</c:v>
                </c:pt>
                <c:pt idx="53">
                  <c:v>18678.90446395997</c:v>
                </c:pt>
                <c:pt idx="54">
                  <c:v>18678.90446395997</c:v>
                </c:pt>
                <c:pt idx="55">
                  <c:v>18678.90446395997</c:v>
                </c:pt>
                <c:pt idx="56">
                  <c:v>18678.90446395997</c:v>
                </c:pt>
                <c:pt idx="57">
                  <c:v>18678.90446395997</c:v>
                </c:pt>
                <c:pt idx="58">
                  <c:v>18678.90446395997</c:v>
                </c:pt>
                <c:pt idx="59">
                  <c:v>18678.90446395997</c:v>
                </c:pt>
                <c:pt idx="60">
                  <c:v>18678.90446395997</c:v>
                </c:pt>
                <c:pt idx="61">
                  <c:v>18678.90446395997</c:v>
                </c:pt>
                <c:pt idx="62">
                  <c:v>18678.90446395997</c:v>
                </c:pt>
                <c:pt idx="63">
                  <c:v>18678.90446395997</c:v>
                </c:pt>
                <c:pt idx="64">
                  <c:v>18678.90446395997</c:v>
                </c:pt>
                <c:pt idx="65">
                  <c:v>18678.90446395997</c:v>
                </c:pt>
                <c:pt idx="66">
                  <c:v>18678.90446395997</c:v>
                </c:pt>
                <c:pt idx="67">
                  <c:v>18678.90446395997</c:v>
                </c:pt>
                <c:pt idx="68">
                  <c:v>18678.90446395997</c:v>
                </c:pt>
                <c:pt idx="69">
                  <c:v>18678.90446395997</c:v>
                </c:pt>
                <c:pt idx="70">
                  <c:v>18678.90446395997</c:v>
                </c:pt>
                <c:pt idx="71">
                  <c:v>18678.90446395997</c:v>
                </c:pt>
                <c:pt idx="72">
                  <c:v>18678.90446395997</c:v>
                </c:pt>
                <c:pt idx="73">
                  <c:v>18678.90446395997</c:v>
                </c:pt>
                <c:pt idx="74">
                  <c:v>18678.90446395997</c:v>
                </c:pt>
                <c:pt idx="75">
                  <c:v>18678.90446395997</c:v>
                </c:pt>
                <c:pt idx="76">
                  <c:v>18678.90446395997</c:v>
                </c:pt>
                <c:pt idx="77">
                  <c:v>18678.90446395997</c:v>
                </c:pt>
                <c:pt idx="78">
                  <c:v>18678.90446395997</c:v>
                </c:pt>
                <c:pt idx="79">
                  <c:v>18678.90446395997</c:v>
                </c:pt>
                <c:pt idx="80">
                  <c:v>18678.90446395997</c:v>
                </c:pt>
                <c:pt idx="81">
                  <c:v>18678.90446395997</c:v>
                </c:pt>
                <c:pt idx="82">
                  <c:v>18678.90446395997</c:v>
                </c:pt>
                <c:pt idx="83">
                  <c:v>18678.90446395997</c:v>
                </c:pt>
                <c:pt idx="84">
                  <c:v>18678.90446395997</c:v>
                </c:pt>
                <c:pt idx="85">
                  <c:v>18678.90446395997</c:v>
                </c:pt>
                <c:pt idx="86">
                  <c:v>18678.90446395997</c:v>
                </c:pt>
                <c:pt idx="87">
                  <c:v>18678.90446395997</c:v>
                </c:pt>
                <c:pt idx="88">
                  <c:v>18678.90446395997</c:v>
                </c:pt>
                <c:pt idx="89">
                  <c:v>18678.90446395997</c:v>
                </c:pt>
                <c:pt idx="90">
                  <c:v>18678.90446395997</c:v>
                </c:pt>
                <c:pt idx="91">
                  <c:v>18678.90446395997</c:v>
                </c:pt>
                <c:pt idx="92">
                  <c:v>18678.90446395997</c:v>
                </c:pt>
                <c:pt idx="93">
                  <c:v>18678.90446395997</c:v>
                </c:pt>
                <c:pt idx="94">
                  <c:v>18678.90446395997</c:v>
                </c:pt>
                <c:pt idx="95">
                  <c:v>18678.90446395997</c:v>
                </c:pt>
                <c:pt idx="96">
                  <c:v>18678.90446395997</c:v>
                </c:pt>
                <c:pt idx="97">
                  <c:v>18678.90446395997</c:v>
                </c:pt>
                <c:pt idx="98">
                  <c:v>18678.90446395997</c:v>
                </c:pt>
                <c:pt idx="99">
                  <c:v>18678.90446395997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39411.09310396344</c:v>
                </c:pt>
                <c:pt idx="1">
                  <c:v>39411.09310396344</c:v>
                </c:pt>
                <c:pt idx="2">
                  <c:v>39411.09310396344</c:v>
                </c:pt>
                <c:pt idx="3">
                  <c:v>39411.09310396344</c:v>
                </c:pt>
                <c:pt idx="4">
                  <c:v>39411.09310396344</c:v>
                </c:pt>
                <c:pt idx="5">
                  <c:v>39411.09310396344</c:v>
                </c:pt>
                <c:pt idx="6">
                  <c:v>39411.09310396344</c:v>
                </c:pt>
                <c:pt idx="7">
                  <c:v>39411.09310396344</c:v>
                </c:pt>
                <c:pt idx="8">
                  <c:v>39411.09310396344</c:v>
                </c:pt>
                <c:pt idx="9">
                  <c:v>39411.09310396344</c:v>
                </c:pt>
                <c:pt idx="10">
                  <c:v>39411.09310396344</c:v>
                </c:pt>
                <c:pt idx="11">
                  <c:v>39411.09310396344</c:v>
                </c:pt>
                <c:pt idx="12">
                  <c:v>39411.09310396344</c:v>
                </c:pt>
                <c:pt idx="13">
                  <c:v>39411.09310396344</c:v>
                </c:pt>
                <c:pt idx="14">
                  <c:v>39411.09310396344</c:v>
                </c:pt>
                <c:pt idx="15">
                  <c:v>39411.09310396344</c:v>
                </c:pt>
                <c:pt idx="16">
                  <c:v>39411.09310396344</c:v>
                </c:pt>
                <c:pt idx="17">
                  <c:v>39411.09310396344</c:v>
                </c:pt>
                <c:pt idx="18">
                  <c:v>39411.09310396344</c:v>
                </c:pt>
                <c:pt idx="19">
                  <c:v>39411.09310396344</c:v>
                </c:pt>
                <c:pt idx="20">
                  <c:v>39411.09310396344</c:v>
                </c:pt>
                <c:pt idx="21">
                  <c:v>39411.09310396344</c:v>
                </c:pt>
                <c:pt idx="22">
                  <c:v>39411.09310396344</c:v>
                </c:pt>
                <c:pt idx="23">
                  <c:v>39411.09310396344</c:v>
                </c:pt>
                <c:pt idx="24">
                  <c:v>39411.09310396344</c:v>
                </c:pt>
                <c:pt idx="25">
                  <c:v>39673.59861262151</c:v>
                </c:pt>
                <c:pt idx="26">
                  <c:v>40198.60962993762</c:v>
                </c:pt>
                <c:pt idx="27">
                  <c:v>40723.62064725374</c:v>
                </c:pt>
                <c:pt idx="28">
                  <c:v>41248.63166456986</c:v>
                </c:pt>
                <c:pt idx="29">
                  <c:v>41773.64268188598</c:v>
                </c:pt>
                <c:pt idx="30">
                  <c:v>42298.6536992021</c:v>
                </c:pt>
                <c:pt idx="31">
                  <c:v>42823.66471651821</c:v>
                </c:pt>
                <c:pt idx="32">
                  <c:v>43348.67573383435</c:v>
                </c:pt>
                <c:pt idx="33">
                  <c:v>43873.68675115046</c:v>
                </c:pt>
                <c:pt idx="34">
                  <c:v>44398.69776846658</c:v>
                </c:pt>
                <c:pt idx="35">
                  <c:v>44923.70878578271</c:v>
                </c:pt>
                <c:pt idx="36">
                  <c:v>45448.71980309882</c:v>
                </c:pt>
                <c:pt idx="37">
                  <c:v>45973.73082041494</c:v>
                </c:pt>
                <c:pt idx="38">
                  <c:v>46498.74183773106</c:v>
                </c:pt>
                <c:pt idx="39">
                  <c:v>47023.75285504718</c:v>
                </c:pt>
                <c:pt idx="40">
                  <c:v>47548.76387236331</c:v>
                </c:pt>
                <c:pt idx="41">
                  <c:v>48073.77488967942</c:v>
                </c:pt>
                <c:pt idx="42">
                  <c:v>48598.78590699554</c:v>
                </c:pt>
                <c:pt idx="43">
                  <c:v>49123.79692431167</c:v>
                </c:pt>
                <c:pt idx="44">
                  <c:v>49648.80794162779</c:v>
                </c:pt>
                <c:pt idx="45">
                  <c:v>50173.8189589439</c:v>
                </c:pt>
                <c:pt idx="46">
                  <c:v>50698.82997626003</c:v>
                </c:pt>
                <c:pt idx="47">
                  <c:v>51223.84099357615</c:v>
                </c:pt>
                <c:pt idx="48">
                  <c:v>51748.85201089226</c:v>
                </c:pt>
                <c:pt idx="49">
                  <c:v>52273.86302820838</c:v>
                </c:pt>
                <c:pt idx="50">
                  <c:v>413772.4859497767</c:v>
                </c:pt>
                <c:pt idx="51">
                  <c:v>419041.3697497768</c:v>
                </c:pt>
                <c:pt idx="52">
                  <c:v>424310.2535497767</c:v>
                </c:pt>
                <c:pt idx="53">
                  <c:v>429579.1373497767</c:v>
                </c:pt>
                <c:pt idx="54">
                  <c:v>434848.0211497767</c:v>
                </c:pt>
                <c:pt idx="55">
                  <c:v>440116.9049497766</c:v>
                </c:pt>
                <c:pt idx="56">
                  <c:v>445385.7887497767</c:v>
                </c:pt>
                <c:pt idx="57">
                  <c:v>450654.6725497767</c:v>
                </c:pt>
                <c:pt idx="58">
                  <c:v>455923.5563497767</c:v>
                </c:pt>
                <c:pt idx="59">
                  <c:v>461192.4401497768</c:v>
                </c:pt>
                <c:pt idx="60">
                  <c:v>466461.3239497767</c:v>
                </c:pt>
                <c:pt idx="61">
                  <c:v>471730.2077497768</c:v>
                </c:pt>
                <c:pt idx="62">
                  <c:v>476999.0915497766</c:v>
                </c:pt>
                <c:pt idx="63">
                  <c:v>482267.9753497766</c:v>
                </c:pt>
                <c:pt idx="64">
                  <c:v>487536.8591497767</c:v>
                </c:pt>
                <c:pt idx="65">
                  <c:v>492805.7429497767</c:v>
                </c:pt>
                <c:pt idx="66">
                  <c:v>498074.6267497768</c:v>
                </c:pt>
                <c:pt idx="67">
                  <c:v>503343.5105497768</c:v>
                </c:pt>
                <c:pt idx="68">
                  <c:v>508612.3943497767</c:v>
                </c:pt>
                <c:pt idx="69">
                  <c:v>513881.2781497767</c:v>
                </c:pt>
                <c:pt idx="70">
                  <c:v>519150.1619497767</c:v>
                </c:pt>
                <c:pt idx="71">
                  <c:v>524419.0457497768</c:v>
                </c:pt>
                <c:pt idx="72">
                  <c:v>529687.9295497768</c:v>
                </c:pt>
                <c:pt idx="73">
                  <c:v>534956.8133497767</c:v>
                </c:pt>
                <c:pt idx="74">
                  <c:v>540225.6971497769</c:v>
                </c:pt>
                <c:pt idx="75">
                  <c:v>545494.5809497768</c:v>
                </c:pt>
                <c:pt idx="76">
                  <c:v>550763.4647497768</c:v>
                </c:pt>
                <c:pt idx="77">
                  <c:v>556032.3485497767</c:v>
                </c:pt>
                <c:pt idx="78">
                  <c:v>561301.2323497768</c:v>
                </c:pt>
                <c:pt idx="79">
                  <c:v>566570.1161497768</c:v>
                </c:pt>
                <c:pt idx="80">
                  <c:v>571838.9999497768</c:v>
                </c:pt>
                <c:pt idx="81">
                  <c:v>577107.8837497768</c:v>
                </c:pt>
                <c:pt idx="82">
                  <c:v>582376.7675497768</c:v>
                </c:pt>
                <c:pt idx="83">
                  <c:v>587645.6513497768</c:v>
                </c:pt>
                <c:pt idx="84">
                  <c:v>592914.5351497767</c:v>
                </c:pt>
                <c:pt idx="85">
                  <c:v>598183.4189497768</c:v>
                </c:pt>
                <c:pt idx="86">
                  <c:v>603452.3027497769</c:v>
                </c:pt>
                <c:pt idx="87">
                  <c:v>608721.1865497768</c:v>
                </c:pt>
                <c:pt idx="88">
                  <c:v>613990.0703497767</c:v>
                </c:pt>
                <c:pt idx="89">
                  <c:v>619258.9541497768</c:v>
                </c:pt>
                <c:pt idx="90">
                  <c:v>624527.8379497768</c:v>
                </c:pt>
                <c:pt idx="91">
                  <c:v>629796.7217497769</c:v>
                </c:pt>
                <c:pt idx="92">
                  <c:v>635065.6055497769</c:v>
                </c:pt>
                <c:pt idx="93">
                  <c:v>640334.4893497768</c:v>
                </c:pt>
                <c:pt idx="94">
                  <c:v>645603.3731497767</c:v>
                </c:pt>
                <c:pt idx="95">
                  <c:v>650872.2569497767</c:v>
                </c:pt>
                <c:pt idx="96">
                  <c:v>656141.1407497769</c:v>
                </c:pt>
                <c:pt idx="97">
                  <c:v>661410.0245497768</c:v>
                </c:pt>
                <c:pt idx="98">
                  <c:v>666678.9083497769</c:v>
                </c:pt>
                <c:pt idx="99">
                  <c:v>671947.7921497768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530904"/>
        <c:axId val="1869532664"/>
      </c:lineChart>
      <c:catAx>
        <c:axId val="1869530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953266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8695326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9530904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50800</xdr:colOff>
      <xdr:row>2</xdr:row>
      <xdr:rowOff>193040</xdr:rowOff>
    </xdr:from>
    <xdr:to>
      <xdr:col>21</xdr:col>
      <xdr:colOff>431800</xdr:colOff>
      <xdr:row>32</xdr:row>
      <xdr:rowOff>185420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406400</xdr:colOff>
      <xdr:row>55</xdr:row>
      <xdr:rowOff>165100</xdr:rowOff>
    </xdr:from>
    <xdr:to>
      <xdr:col>19</xdr:col>
      <xdr:colOff>12700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371930</xdr:colOff>
      <xdr:row>82</xdr:row>
      <xdr:rowOff>30842</xdr:rowOff>
    </xdr:from>
    <xdr:to>
      <xdr:col>17</xdr:col>
      <xdr:colOff>410030</xdr:colOff>
      <xdr:row>103</xdr:row>
      <xdr:rowOff>18142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107</xdr:row>
      <xdr:rowOff>63500</xdr:rowOff>
    </xdr:from>
    <xdr:to>
      <xdr:col>16</xdr:col>
      <xdr:colOff>177800</xdr:colOff>
      <xdr:row>127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slc_basel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zanoc_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Chart1"/>
      <sheetName val="Sheet12"/>
      <sheetName val="zaslc_baseline.xlsx"/>
    </sheetNames>
    <definedNames>
      <definedName name="WB_summary" refersTo="='WB'!$CP$9"/>
    </definedNames>
    <sheetDataSet>
      <sheetData sheetId="0"/>
      <sheetData sheetId="1">
        <row r="1">
          <cell r="B1" t="str">
            <v>ZASLC</v>
          </cell>
        </row>
        <row r="9">
          <cell r="CP9">
            <v>0.49</v>
          </cell>
        </row>
        <row r="10">
          <cell r="CK10"/>
        </row>
        <row r="11">
          <cell r="CK11"/>
        </row>
        <row r="12">
          <cell r="CK12"/>
        </row>
      </sheetData>
      <sheetData sheetId="2"/>
      <sheetData sheetId="3"/>
      <sheetData sheetId="4"/>
      <sheetData sheetId="5"/>
      <sheetData sheetId="6">
        <row r="1">
          <cell r="P1">
            <v>8800</v>
          </cell>
        </row>
        <row r="815">
          <cell r="H815"/>
          <cell r="I815"/>
          <cell r="J815"/>
          <cell r="K815"/>
        </row>
        <row r="1031">
          <cell r="C1031">
            <v>13477.244998392132</v>
          </cell>
          <cell r="E1031">
            <v>13477.244998392132</v>
          </cell>
          <cell r="H1031">
            <v>13477.244998392132</v>
          </cell>
          <cell r="J1031">
            <v>11231.037498660109</v>
          </cell>
        </row>
        <row r="1032">
          <cell r="C1032">
            <v>11684</v>
          </cell>
          <cell r="E1032">
            <v>11684</v>
          </cell>
          <cell r="H1032">
            <v>11684</v>
          </cell>
          <cell r="J1032">
            <v>9736.6666666666679</v>
          </cell>
        </row>
        <row r="1033">
          <cell r="C1033">
            <v>20808</v>
          </cell>
          <cell r="E1033">
            <v>20808</v>
          </cell>
          <cell r="H1033">
            <v>20808</v>
          </cell>
          <cell r="J1033">
            <v>17340</v>
          </cell>
        </row>
        <row r="1034">
          <cell r="C1034">
            <v>952</v>
          </cell>
          <cell r="E1034">
            <v>2495</v>
          </cell>
          <cell r="H1034">
            <v>22420</v>
          </cell>
          <cell r="J1034">
            <v>43065</v>
          </cell>
        </row>
        <row r="1037">
          <cell r="C1037" t="str">
            <v>maize</v>
          </cell>
          <cell r="E1037" t="str">
            <v>maize</v>
          </cell>
          <cell r="H1037" t="str">
            <v>maize</v>
          </cell>
          <cell r="J1037" t="str">
            <v>maize</v>
          </cell>
        </row>
        <row r="1038">
          <cell r="C1038">
            <v>0.58061985920496251</v>
          </cell>
          <cell r="E1038">
            <v>0.58061985920496251</v>
          </cell>
          <cell r="H1038">
            <v>0.58061985920496251</v>
          </cell>
          <cell r="J1038">
            <v>0.58061985920496251</v>
          </cell>
        </row>
        <row r="1039">
          <cell r="C1039">
            <v>6</v>
          </cell>
          <cell r="E1039">
            <v>6</v>
          </cell>
          <cell r="H1039">
            <v>6</v>
          </cell>
          <cell r="J1039">
            <v>5</v>
          </cell>
        </row>
        <row r="1040">
          <cell r="C1040">
            <v>5.625</v>
          </cell>
          <cell r="E1040">
            <v>5.625</v>
          </cell>
          <cell r="H1040">
            <v>5.625</v>
          </cell>
          <cell r="J1040">
            <v>5.625</v>
          </cell>
        </row>
        <row r="1044">
          <cell r="A1044" t="str">
            <v>Cows' milk - season 1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H1044">
            <v>7.5093399750934001E-2</v>
          </cell>
          <cell r="I1044">
            <v>0</v>
          </cell>
          <cell r="J1044">
            <v>9.0112079701120812E-2</v>
          </cell>
          <cell r="K1044">
            <v>0</v>
          </cell>
        </row>
        <row r="1045">
          <cell r="A1045" t="str">
            <v>Own meat</v>
          </cell>
          <cell r="C1045">
            <v>0</v>
          </cell>
          <cell r="D1045">
            <v>0</v>
          </cell>
          <cell r="E1045">
            <v>2.8214508094645077E-3</v>
          </cell>
          <cell r="F1045">
            <v>0</v>
          </cell>
          <cell r="H1045">
            <v>4.2051940639269411E-2</v>
          </cell>
          <cell r="I1045">
            <v>0</v>
          </cell>
          <cell r="J1045">
            <v>0.10092465753424658</v>
          </cell>
          <cell r="K1045">
            <v>0</v>
          </cell>
        </row>
        <row r="1046">
          <cell r="A1046" t="str">
            <v>Green cons - Season 1: no of months</v>
          </cell>
          <cell r="C1046">
            <v>4.1666666666666664E-2</v>
          </cell>
          <cell r="D1046">
            <v>0</v>
          </cell>
          <cell r="E1046">
            <v>4.1666666666666664E-2</v>
          </cell>
          <cell r="F1046">
            <v>0</v>
          </cell>
          <cell r="H1046">
            <v>4.1666666666666664E-2</v>
          </cell>
          <cell r="I1046">
            <v>0</v>
          </cell>
          <cell r="J1046">
            <v>4.1666666666666664E-2</v>
          </cell>
          <cell r="K1046">
            <v>0</v>
          </cell>
        </row>
        <row r="1047">
          <cell r="A1047" t="str">
            <v>Maize: kg produced</v>
          </cell>
          <cell r="C1047">
            <v>6.1511547945205469E-2</v>
          </cell>
          <cell r="D1047">
            <v>0</v>
          </cell>
          <cell r="E1047">
            <v>8.6747054794520537E-2</v>
          </cell>
          <cell r="F1047">
            <v>0</v>
          </cell>
          <cell r="H1047">
            <v>0.11829143835616435</v>
          </cell>
          <cell r="I1047">
            <v>0</v>
          </cell>
          <cell r="J1047">
            <v>0.20346127397260275</v>
          </cell>
          <cell r="K1047">
            <v>0.37853260273972611</v>
          </cell>
        </row>
        <row r="1048">
          <cell r="A1048" t="str">
            <v>Cowpeas: kg produced</v>
          </cell>
          <cell r="C1048">
            <v>2.0681992528019926E-2</v>
          </cell>
          <cell r="D1048">
            <v>0</v>
          </cell>
          <cell r="E1048">
            <v>3.5454844333748445E-2</v>
          </cell>
          <cell r="F1048">
            <v>0</v>
          </cell>
          <cell r="H1048">
            <v>3.5454844333748445E-2</v>
          </cell>
          <cell r="I1048">
            <v>0</v>
          </cell>
          <cell r="J1048">
            <v>2.9250246575342465E-2</v>
          </cell>
          <cell r="K1048">
            <v>-7.9773399750933983E-3</v>
          </cell>
        </row>
        <row r="1049">
          <cell r="A1049" t="str">
            <v>Beans: kg produced</v>
          </cell>
          <cell r="C1049">
            <v>3.5350565379825657E-2</v>
          </cell>
          <cell r="D1049">
            <v>0</v>
          </cell>
          <cell r="E1049">
            <v>6.6282310087173099E-2</v>
          </cell>
          <cell r="F1049">
            <v>0</v>
          </cell>
          <cell r="H1049">
            <v>1.3992932129514322E-2</v>
          </cell>
          <cell r="I1049">
            <v>0</v>
          </cell>
          <cell r="J1049">
            <v>6.0095961145703619E-2</v>
          </cell>
          <cell r="K1049">
            <v>0</v>
          </cell>
        </row>
        <row r="1050">
          <cell r="A1050" t="str">
            <v>Pumpkin: kg produce</v>
          </cell>
          <cell r="C1050">
            <v>0</v>
          </cell>
          <cell r="D1050">
            <v>0</v>
          </cell>
          <cell r="E1050">
            <v>0</v>
          </cell>
          <cell r="F1050">
            <v>0</v>
          </cell>
          <cell r="H1050">
            <v>1.5670402656704026E-3</v>
          </cell>
          <cell r="I1050">
            <v>0</v>
          </cell>
          <cell r="J1050">
            <v>4.7011207970112075E-3</v>
          </cell>
          <cell r="K1050">
            <v>1.4103362391033623E-2</v>
          </cell>
        </row>
        <row r="1051">
          <cell r="A1051" t="str">
            <v>Water melon: no. local meas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H1051">
            <v>5.9386674968866749E-3</v>
          </cell>
          <cell r="I1051">
            <v>0</v>
          </cell>
          <cell r="J1051">
            <v>1.4252801992528021E-2</v>
          </cell>
          <cell r="K1051">
            <v>0</v>
          </cell>
        </row>
        <row r="1052">
          <cell r="A1052" t="str">
            <v>Sweet potato: no. local meas</v>
          </cell>
          <cell r="C1052">
            <v>0</v>
          </cell>
          <cell r="D1052">
            <v>0</v>
          </cell>
          <cell r="E1052">
            <v>0</v>
          </cell>
          <cell r="F1052">
            <v>0</v>
          </cell>
          <cell r="H1052">
            <v>7.4252801992528029E-3</v>
          </cell>
          <cell r="I1052">
            <v>0</v>
          </cell>
          <cell r="J1052">
            <v>8.9103362391033634E-3</v>
          </cell>
          <cell r="K1052">
            <v>0</v>
          </cell>
        </row>
        <row r="1053">
          <cell r="A1053" t="str">
            <v>Groundnuts (dry): no. local meas</v>
          </cell>
          <cell r="C1053">
            <v>2.6415162515566623E-2</v>
          </cell>
          <cell r="D1053">
            <v>0</v>
          </cell>
          <cell r="E1053">
            <v>5.7861784557907844E-2</v>
          </cell>
          <cell r="F1053">
            <v>0</v>
          </cell>
          <cell r="H1053">
            <v>5.7861784557907844E-2</v>
          </cell>
          <cell r="I1053">
            <v>0</v>
          </cell>
          <cell r="J1053">
            <v>6.943414146948941E-2</v>
          </cell>
          <cell r="K1053">
            <v>0</v>
          </cell>
        </row>
        <row r="1054">
          <cell r="A1054" t="str">
            <v>WILD FOODS -- see worksheet Data 3</v>
          </cell>
          <cell r="C1054">
            <v>0</v>
          </cell>
          <cell r="D1054">
            <v>0.03</v>
          </cell>
          <cell r="E1054">
            <v>0</v>
          </cell>
          <cell r="F1054">
            <v>0.05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</row>
        <row r="1055">
          <cell r="A1055" t="str">
            <v>Labour: Harvesting</v>
          </cell>
          <cell r="C1055">
            <v>0</v>
          </cell>
          <cell r="D1055">
            <v>0</v>
          </cell>
          <cell r="E1055">
            <v>0</v>
          </cell>
          <cell r="F1055">
            <v>0</v>
          </cell>
          <cell r="H1055">
            <v>2.8253424657534248E-2</v>
          </cell>
          <cell r="I1055">
            <v>5.6506849315068469E-3</v>
          </cell>
          <cell r="J1055">
            <v>0</v>
          </cell>
          <cell r="K1055">
            <v>0</v>
          </cell>
        </row>
        <row r="1056">
          <cell r="A1056" t="str">
            <v>Food aid</v>
          </cell>
          <cell r="C1056">
            <v>8.3170254403131125E-2</v>
          </cell>
          <cell r="D1056">
            <v>0</v>
          </cell>
          <cell r="E1056">
            <v>8.1648184387910425E-2</v>
          </cell>
          <cell r="F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</row>
        <row r="1057">
          <cell r="A1057" t="str">
            <v>Purchase - other food</v>
          </cell>
          <cell r="C1057">
            <v>2.2941780821917807E-2</v>
          </cell>
          <cell r="D1057">
            <v>-2.2941780821917807E-2</v>
          </cell>
          <cell r="E1057">
            <v>3.2171701120797008E-2</v>
          </cell>
          <cell r="F1057">
            <v>-3.2171701120797008E-2</v>
          </cell>
          <cell r="H1057">
            <v>2.2811021170610211E-2</v>
          </cell>
          <cell r="I1057">
            <v>-2.2811021170610211E-2</v>
          </cell>
          <cell r="J1057">
            <v>5.4746450809464504E-2</v>
          </cell>
          <cell r="K1057">
            <v>-5.4746450809464504E-2</v>
          </cell>
        </row>
        <row r="1058">
          <cell r="A1058" t="str">
            <v>Purchase - desirable</v>
          </cell>
          <cell r="C1058">
            <v>6.88241095890411E-3</v>
          </cell>
          <cell r="D1058">
            <v>-6.88241095890411E-3</v>
          </cell>
          <cell r="E1058">
            <v>0</v>
          </cell>
          <cell r="F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</row>
        <row r="1059">
          <cell r="A1059" t="str">
            <v>Purchase - fpl non staple</v>
          </cell>
          <cell r="C1059">
            <v>0.2047118648816936</v>
          </cell>
          <cell r="D1059">
            <v>0.38149174542791303</v>
          </cell>
          <cell r="E1059">
            <v>0.2047118648816936</v>
          </cell>
          <cell r="F1059">
            <v>0.38149174542791303</v>
          </cell>
          <cell r="H1059">
            <v>0.24999602428393522</v>
          </cell>
          <cell r="I1059">
            <v>0.33620758602567147</v>
          </cell>
          <cell r="J1059">
            <v>0.31070909526774598</v>
          </cell>
          <cell r="K1059">
            <v>0.27549451504186073</v>
          </cell>
        </row>
        <row r="1060">
          <cell r="A1060" t="str">
            <v>Purchase - staple</v>
          </cell>
          <cell r="C1060">
            <v>0.69206465753424673</v>
          </cell>
          <cell r="E1060">
            <v>0.62914968866749699</v>
          </cell>
          <cell r="H1060">
            <v>0.55063632627646331</v>
          </cell>
          <cell r="J1060">
            <v>0.50976766625155667</v>
          </cell>
        </row>
        <row r="1064">
          <cell r="A1064" t="str">
            <v>Pig sales: no sold</v>
          </cell>
          <cell r="C1064">
            <v>500</v>
          </cell>
          <cell r="D1064">
            <v>0</v>
          </cell>
          <cell r="E1064">
            <v>2600</v>
          </cell>
          <cell r="F1064">
            <v>0</v>
          </cell>
          <cell r="H1064">
            <v>1600</v>
          </cell>
          <cell r="J1064">
            <v>600</v>
          </cell>
        </row>
        <row r="1065">
          <cell r="A1065" t="str">
            <v>Cattle sales - local: no. sold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H1065">
            <v>5000</v>
          </cell>
          <cell r="J1065">
            <v>12000</v>
          </cell>
        </row>
        <row r="1066">
          <cell r="A1066" t="str">
            <v>Goat sales - local: no. sold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H1066">
            <v>1400</v>
          </cell>
          <cell r="J1066">
            <v>4200</v>
          </cell>
        </row>
        <row r="1067">
          <cell r="A1067" t="str">
            <v>Sheep sales - local: no. sold</v>
          </cell>
          <cell r="C1067">
            <v>0</v>
          </cell>
          <cell r="D1067">
            <v>0</v>
          </cell>
          <cell r="E1067">
            <v>0</v>
          </cell>
          <cell r="F1067">
            <v>0</v>
          </cell>
          <cell r="H1067">
            <v>400</v>
          </cell>
          <cell r="J1067">
            <v>900</v>
          </cell>
        </row>
        <row r="1068">
          <cell r="A1068" t="str">
            <v>Chicken sales: no. sold</v>
          </cell>
          <cell r="C1068">
            <v>135</v>
          </cell>
          <cell r="D1068">
            <v>0</v>
          </cell>
          <cell r="E1068">
            <v>198</v>
          </cell>
          <cell r="F1068">
            <v>0</v>
          </cell>
          <cell r="H1068">
            <v>100</v>
          </cell>
          <cell r="J1068">
            <v>405</v>
          </cell>
        </row>
        <row r="1069">
          <cell r="A1069" t="str">
            <v>Maize: kg produced</v>
          </cell>
          <cell r="C1069">
            <v>0</v>
          </cell>
          <cell r="D1069">
            <v>0</v>
          </cell>
          <cell r="E1069">
            <v>0</v>
          </cell>
          <cell r="F1069">
            <v>0</v>
          </cell>
          <cell r="H1069">
            <v>0</v>
          </cell>
          <cell r="J1069">
            <v>900</v>
          </cell>
        </row>
        <row r="1070">
          <cell r="A1070" t="str">
            <v>Cowpeas: kg produced</v>
          </cell>
          <cell r="C1070">
            <v>0</v>
          </cell>
          <cell r="D1070">
            <v>0</v>
          </cell>
          <cell r="E1070">
            <v>0</v>
          </cell>
          <cell r="F1070">
            <v>0</v>
          </cell>
          <cell r="H1070">
            <v>0</v>
          </cell>
          <cell r="J1070">
            <v>150</v>
          </cell>
        </row>
        <row r="1071">
          <cell r="A1071" t="str">
            <v>Pumpkin: kg produce</v>
          </cell>
          <cell r="C1071">
            <v>0</v>
          </cell>
          <cell r="D1071">
            <v>0</v>
          </cell>
          <cell r="E1071">
            <v>0</v>
          </cell>
          <cell r="F1071">
            <v>0</v>
          </cell>
          <cell r="H1071">
            <v>0</v>
          </cell>
          <cell r="J1071">
            <v>1500</v>
          </cell>
        </row>
        <row r="1072">
          <cell r="A1072" t="str">
            <v>Cabbage: number produced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H1072">
            <v>150</v>
          </cell>
          <cell r="J1072">
            <v>150</v>
          </cell>
        </row>
        <row r="1073">
          <cell r="A1073" t="str">
            <v>Tomato: kg produced</v>
          </cell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H1073">
            <v>0</v>
          </cell>
          <cell r="J1073">
            <v>7000</v>
          </cell>
        </row>
        <row r="1074">
          <cell r="A1074" t="str">
            <v>Onions: kg produced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H1074">
            <v>0</v>
          </cell>
          <cell r="J1074">
            <v>3500</v>
          </cell>
        </row>
        <row r="1075">
          <cell r="A1075" t="str">
            <v>Beetroot: kg produced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H1075">
            <v>0</v>
          </cell>
          <cell r="J1075">
            <v>200</v>
          </cell>
        </row>
        <row r="1076">
          <cell r="A1076" t="str">
            <v>Spinach: kg produced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0</v>
          </cell>
          <cell r="J1076">
            <v>250</v>
          </cell>
        </row>
        <row r="1077">
          <cell r="A1077" t="str">
            <v>WILD FOODS -- see worksheet Data 3</v>
          </cell>
          <cell r="C1077">
            <v>640</v>
          </cell>
          <cell r="D1077">
            <v>110</v>
          </cell>
          <cell r="E1077">
            <v>640</v>
          </cell>
          <cell r="F1077">
            <v>110</v>
          </cell>
          <cell r="H1077">
            <v>0</v>
          </cell>
          <cell r="J1077">
            <v>0</v>
          </cell>
        </row>
        <row r="1078">
          <cell r="A1078" t="str">
            <v>Agricultural cash income -- see Data2</v>
          </cell>
          <cell r="C1078">
            <v>1510</v>
          </cell>
          <cell r="D1078">
            <v>302</v>
          </cell>
          <cell r="E1078">
            <v>3050</v>
          </cell>
          <cell r="F1078">
            <v>610</v>
          </cell>
          <cell r="H1078">
            <v>980</v>
          </cell>
          <cell r="J1078">
            <v>0</v>
          </cell>
        </row>
        <row r="1079">
          <cell r="A1079" t="str">
            <v>Domestic work cash income -- see Data2</v>
          </cell>
          <cell r="C1079">
            <v>4500</v>
          </cell>
          <cell r="D1079">
            <v>900</v>
          </cell>
          <cell r="E1079">
            <v>9000</v>
          </cell>
          <cell r="F1079">
            <v>1800</v>
          </cell>
          <cell r="H1079">
            <v>0</v>
          </cell>
          <cell r="J1079">
            <v>0</v>
          </cell>
        </row>
        <row r="1080">
          <cell r="A1080" t="str">
            <v>Formal Employment (conservancies, etc.)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H1080">
            <v>36000</v>
          </cell>
          <cell r="J1080">
            <v>204000</v>
          </cell>
        </row>
        <row r="1081">
          <cell r="A1081" t="str">
            <v>Self-employment -- see Data2</v>
          </cell>
          <cell r="C1081">
            <v>3600</v>
          </cell>
          <cell r="D1081">
            <v>720</v>
          </cell>
          <cell r="E1081">
            <v>4100</v>
          </cell>
          <cell r="F1081">
            <v>820</v>
          </cell>
          <cell r="H1081">
            <v>3600</v>
          </cell>
          <cell r="J1081">
            <v>6000</v>
          </cell>
        </row>
        <row r="1082">
          <cell r="A1082" t="str">
            <v>Small business -- see Data2</v>
          </cell>
          <cell r="C1082">
            <v>0</v>
          </cell>
          <cell r="D1082">
            <v>0</v>
          </cell>
          <cell r="E1082">
            <v>840</v>
          </cell>
          <cell r="F1082">
            <v>0</v>
          </cell>
          <cell r="H1082">
            <v>7200</v>
          </cell>
          <cell r="J1082">
            <v>14400</v>
          </cell>
        </row>
        <row r="1083">
          <cell r="A1083" t="str">
            <v>Social Cash Transfers -- see Data2</v>
          </cell>
          <cell r="C1083">
            <v>19980.908313376669</v>
          </cell>
          <cell r="D1083">
            <v>0</v>
          </cell>
          <cell r="E1083">
            <v>19980.908313376669</v>
          </cell>
          <cell r="F1083">
            <v>0</v>
          </cell>
          <cell r="H1083">
            <v>8078.9240506329124</v>
          </cell>
          <cell r="J1083">
            <v>8078.9240506329124</v>
          </cell>
        </row>
        <row r="1084">
          <cell r="A1084" t="str">
            <v>Public works -- see Data2</v>
          </cell>
          <cell r="C1084">
            <v>0</v>
          </cell>
          <cell r="D1084">
            <v>0</v>
          </cell>
          <cell r="E1084">
            <v>561</v>
          </cell>
          <cell r="F1084">
            <v>0</v>
          </cell>
          <cell r="H1084">
            <v>0</v>
          </cell>
          <cell r="J1084">
            <v>0</v>
          </cell>
        </row>
        <row r="1085">
          <cell r="A1085" t="str">
            <v>Other income: e.g. Credit (cotton loans)</v>
          </cell>
          <cell r="C1085">
            <v>450</v>
          </cell>
          <cell r="D1085">
            <v>0</v>
          </cell>
          <cell r="E1085">
            <v>0</v>
          </cell>
          <cell r="F1085">
            <v>0</v>
          </cell>
          <cell r="H1085">
            <v>0</v>
          </cell>
          <cell r="J1085">
            <v>0</v>
          </cell>
        </row>
        <row r="1086">
          <cell r="A1086" t="str">
            <v>Remittances: no. times per year</v>
          </cell>
          <cell r="C1086">
            <v>2400</v>
          </cell>
          <cell r="D1086">
            <v>0</v>
          </cell>
          <cell r="E1086">
            <v>3600</v>
          </cell>
          <cell r="F1086">
            <v>0</v>
          </cell>
          <cell r="H1086">
            <v>24000</v>
          </cell>
          <cell r="J1086">
            <v>36000</v>
          </cell>
        </row>
      </sheetData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V.Poor"/>
      <sheetName val="Poor"/>
      <sheetName val="Middle"/>
      <sheetName val="Rich"/>
      <sheetName val="Food"/>
      <sheetName val="Income"/>
      <sheetName val="Expenditure"/>
      <sheetName val="Percentiles"/>
    </sheetNames>
    <sheetDataSet>
      <sheetData sheetId="0"/>
      <sheetData sheetId="1">
        <row r="68">
          <cell r="B68">
            <v>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51"/>
  <sheetViews>
    <sheetView showGridLines="0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R38" sqref="R38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ZASLC</v>
      </c>
      <c r="B1" s="2"/>
      <c r="C1" s="2"/>
      <c r="D1" s="2"/>
      <c r="E1" s="2" t="s">
        <v>47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09"/>
      <c r="X1" s="113" t="s">
        <v>69</v>
      </c>
      <c r="Y1" s="114" t="s">
        <v>60</v>
      </c>
      <c r="Z1" s="249" t="str">
        <f>Poor!Z1</f>
        <v>Apr-Jun</v>
      </c>
      <c r="AA1" s="250"/>
      <c r="AB1" s="249" t="str">
        <f>Poor!AB1</f>
        <v>Jul-Sep</v>
      </c>
      <c r="AC1" s="250"/>
      <c r="AD1" s="249" t="str">
        <f>Poor!AD1</f>
        <v>Oct-Dec</v>
      </c>
      <c r="AE1" s="250"/>
      <c r="AF1" s="249" t="str">
        <f>Poor!AF1</f>
        <v>Jan-Mar</v>
      </c>
      <c r="AG1" s="250"/>
      <c r="AH1" s="116"/>
      <c r="AI1" s="109"/>
      <c r="AJ1" s="196" t="str">
        <f>LEFT(Z1,4) &amp; MID(AB1,5,3)</f>
        <v>Apr-Sep</v>
      </c>
      <c r="AK1" s="197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09"/>
      <c r="X2" s="117" t="s">
        <v>61</v>
      </c>
      <c r="Y2" s="114" t="s">
        <v>62</v>
      </c>
      <c r="Z2" s="251" t="str">
        <f>Poor!Z2</f>
        <v>Q1</v>
      </c>
      <c r="AA2" s="252"/>
      <c r="AB2" s="251" t="str">
        <f>Poor!AB2</f>
        <v>Q2</v>
      </c>
      <c r="AC2" s="252"/>
      <c r="AD2" s="251" t="str">
        <f>Poor!AD2</f>
        <v>Q3</v>
      </c>
      <c r="AE2" s="252"/>
      <c r="AF2" s="251" t="str">
        <f>Poor!AF2</f>
        <v>Q4</v>
      </c>
      <c r="AG2" s="252"/>
      <c r="AH2" s="116"/>
      <c r="AI2" s="109"/>
      <c r="AJ2" s="198" t="str">
        <f>Poor!AJ2</f>
        <v>H1</v>
      </c>
      <c r="AK2" s="199" t="str">
        <f>Poor!AK2</f>
        <v>H2</v>
      </c>
      <c r="CM2" s="6"/>
    </row>
    <row r="3" spans="1:91">
      <c r="A3" s="73" t="s">
        <v>54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70</v>
      </c>
      <c r="R3" s="56"/>
      <c r="S3" s="67"/>
      <c r="T3" s="56"/>
      <c r="U3" s="56"/>
      <c r="V3" s="56"/>
      <c r="W3" s="109"/>
      <c r="X3" s="117"/>
      <c r="Y3" s="114" t="s">
        <v>63</v>
      </c>
      <c r="Z3" s="119"/>
      <c r="AA3" s="118"/>
      <c r="AB3" s="119"/>
      <c r="AC3" s="118"/>
      <c r="AD3" s="119"/>
      <c r="AE3" s="118"/>
      <c r="AF3" s="119"/>
      <c r="AG3" s="118"/>
      <c r="AH3" s="116"/>
      <c r="AI3" s="109"/>
      <c r="AJ3" s="119"/>
      <c r="AK3" s="118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71</v>
      </c>
      <c r="R4" s="56"/>
      <c r="S4" s="29"/>
      <c r="T4" s="56"/>
      <c r="U4" s="56"/>
      <c r="V4" s="56"/>
      <c r="W4" s="109"/>
      <c r="X4" s="117"/>
      <c r="Y4" s="114" t="s">
        <v>64</v>
      </c>
      <c r="Z4" s="119"/>
      <c r="AA4" s="118"/>
      <c r="AB4" s="119"/>
      <c r="AC4" s="118"/>
      <c r="AD4" s="119"/>
      <c r="AE4" s="118"/>
      <c r="AF4" s="119"/>
      <c r="AG4" s="118"/>
      <c r="AH4" s="116"/>
      <c r="AI4" s="109"/>
      <c r="AJ4" s="119"/>
      <c r="AK4" s="118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131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20</v>
      </c>
      <c r="M5" s="23" t="str">
        <f>(J5)</f>
        <v>Access</v>
      </c>
      <c r="O5" s="2" t="s">
        <v>21</v>
      </c>
      <c r="P5" s="19"/>
      <c r="Q5" s="56"/>
      <c r="R5" s="56"/>
      <c r="S5" s="29"/>
      <c r="T5" s="56"/>
      <c r="U5" s="56"/>
      <c r="V5" s="56"/>
      <c r="W5" s="109"/>
      <c r="X5" s="117"/>
      <c r="Y5" s="114"/>
      <c r="Z5" s="119"/>
      <c r="AA5" s="118"/>
      <c r="AB5" s="119"/>
      <c r="AC5" s="118"/>
      <c r="AD5" s="119"/>
      <c r="AE5" s="118"/>
      <c r="AF5" s="119"/>
      <c r="AG5" s="118"/>
      <c r="AH5" s="116"/>
      <c r="AI5" s="109"/>
      <c r="AJ5" s="119"/>
      <c r="AK5" s="118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6">
        <f>IF([1]Summ!C1044="",0,[1]Summ!C1044)</f>
        <v>0</v>
      </c>
      <c r="C6" s="216">
        <f>IF([1]Summ!D1044="",0,[1]Summ!D1044)</f>
        <v>0</v>
      </c>
      <c r="D6" s="24">
        <f t="shared" ref="D6:D20" si="0">(B6+C6)</f>
        <v>0</v>
      </c>
      <c r="E6" s="75">
        <f>Poor!E6</f>
        <v>1</v>
      </c>
      <c r="F6" s="2" t="s">
        <v>22</v>
      </c>
      <c r="H6" s="24">
        <f t="shared" ref="H6:H21" si="1">(E6*F$7/F$9)</f>
        <v>1</v>
      </c>
      <c r="I6" s="22">
        <f t="shared" ref="I6:I21" si="2">(D6*H6)</f>
        <v>0</v>
      </c>
      <c r="J6" s="24">
        <f t="shared" ref="J6:J13" si="3">IF(I$24&lt;=1+I$113,I6,B6*H6+J$25*(I6-B6*H6))</f>
        <v>0</v>
      </c>
      <c r="K6" s="22">
        <f t="shared" ref="K6:K23" si="4">B6</f>
        <v>0</v>
      </c>
      <c r="L6" s="22">
        <f t="shared" ref="L6:L21" si="5">IF(K6="","",K6*H6)</f>
        <v>0</v>
      </c>
      <c r="M6" s="176">
        <f t="shared" ref="M6:M23" si="6">J6</f>
        <v>0</v>
      </c>
      <c r="N6" s="231">
        <v>3</v>
      </c>
      <c r="O6" s="22" t="s">
        <v>23</v>
      </c>
      <c r="P6" s="22"/>
      <c r="Q6" s="56"/>
      <c r="R6" s="70" t="s">
        <v>7</v>
      </c>
      <c r="S6" s="70" t="s">
        <v>72</v>
      </c>
      <c r="T6" s="70" t="s">
        <v>23</v>
      </c>
      <c r="U6" s="56"/>
      <c r="V6" s="56"/>
      <c r="W6" s="114"/>
      <c r="X6" s="117"/>
      <c r="Y6" s="184">
        <f>M6*4</f>
        <v>0</v>
      </c>
      <c r="Z6" s="155">
        <f>Poor!Z6</f>
        <v>0.17</v>
      </c>
      <c r="AA6" s="120">
        <f>$M6*Z6*4</f>
        <v>0</v>
      </c>
      <c r="AB6" s="155">
        <f>Poor!AB6</f>
        <v>0.17</v>
      </c>
      <c r="AC6" s="120">
        <f t="shared" ref="AC6:AC21" si="7">$M6*AB6*4</f>
        <v>0</v>
      </c>
      <c r="AD6" s="155">
        <f>Poor!AD6</f>
        <v>0.33</v>
      </c>
      <c r="AE6" s="120">
        <f t="shared" ref="AE6:AE21" si="8">$M6*AD6*4</f>
        <v>0</v>
      </c>
      <c r="AF6" s="121">
        <f>1-SUM(Z6,AB6,AD6)</f>
        <v>0.32999999999999996</v>
      </c>
      <c r="AG6" s="120">
        <f>$M6*AF6*4</f>
        <v>0</v>
      </c>
      <c r="AH6" s="122">
        <f>SUM(Z6,AB6,AD6,AF6)</f>
        <v>1</v>
      </c>
      <c r="AI6" s="184">
        <f>SUM(AA6,AC6,AE6,AG6)/4</f>
        <v>0</v>
      </c>
      <c r="AJ6" s="119">
        <f>(AA6+AC6)/2</f>
        <v>0</v>
      </c>
      <c r="AK6" s="118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6">
        <f>IF([1]Summ!C1045="",0,[1]Summ!C1045)</f>
        <v>0</v>
      </c>
      <c r="C7" s="216">
        <f>IF([1]Summ!D1045="",0,[1]Summ!D1045)</f>
        <v>0</v>
      </c>
      <c r="D7" s="24">
        <f t="shared" si="0"/>
        <v>0</v>
      </c>
      <c r="E7" s="75">
        <f>Poor!E7</f>
        <v>1</v>
      </c>
      <c r="F7" s="27">
        <v>8800</v>
      </c>
      <c r="H7" s="24">
        <f t="shared" si="1"/>
        <v>1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176">
        <f t="shared" si="6"/>
        <v>0</v>
      </c>
      <c r="N7" s="231">
        <v>3</v>
      </c>
      <c r="O7" s="2"/>
      <c r="P7" s="22"/>
      <c r="Q7" s="59" t="s">
        <v>73</v>
      </c>
      <c r="R7" s="224">
        <f>IF($B$68=0,0,(SUMIF($N$6:$N$20,$U7,K$6:K$20)+SUMIF($N$78:$N$100,$U7,K$78:K$100))*$I$70*Poor!$B$68/$B$68)</f>
        <v>1487.0145045438785</v>
      </c>
      <c r="S7" s="224">
        <f>IF($B$68=0,0,(SUMIF($N$6:$N$20,$U7,L$6:L$20)+SUMIF($N$78:$N$100,$U7,L$78:L$100))*$I$70*Poor!$B$68/$B$68)</f>
        <v>1487.0145045438785</v>
      </c>
      <c r="T7" s="224">
        <f>IF($B$68=0,0,(SUMIF($N$6:$N$20,$U7,M$6:M$20)+SUMIF($N$78:$N$100,$U7,M$78:M$100))*$I$70*Poor!$B$68/$B$68)</f>
        <v>1487.0145045438785</v>
      </c>
      <c r="U7" s="225">
        <v>1</v>
      </c>
      <c r="V7" s="56"/>
      <c r="W7" s="114"/>
      <c r="X7" s="117">
        <f>Poor!X7</f>
        <v>4</v>
      </c>
      <c r="Y7" s="184">
        <f t="shared" ref="Y7:Y21" si="9">M7*4</f>
        <v>0</v>
      </c>
      <c r="Z7" s="124">
        <f>IF($Y7=0,0,AA7/$Y7)</f>
        <v>0</v>
      </c>
      <c r="AA7" s="120">
        <f>IF($X7=1,IF(SUM(AA$6,AA$12:AA$21)&lt;1,IF((1-SUM(AA$6,AA$12:AA$21))*$M7/SUM($M$7*IF($X$7=1,1,0),$M$8*IF($X$8=1,1,0),$M$9*IF($X$9=1,1,0),$M$10*IF($X$10=1,1,0),$M$11*IF($X$11=1,1,0))&lt;Y7,(1-SUM(AA$6,AA$12:AA$21))*$M7/SUM($M$7*IF($X$7=1,1,0),$M$8*IF($X$8=1,1,0),$M$9*IF($X$9=1,1,0),$M$10*IF($X$10=1,1,0),$M$11*IF($X$11=1,1,0)),Y7),0),0)</f>
        <v>0</v>
      </c>
      <c r="AB7" s="124">
        <f>IF($Y7=0,0,AC7/$Y7)</f>
        <v>0</v>
      </c>
      <c r="AC7" s="120">
        <f>IF($X7&lt;3,IF(SUM(AC$6,AC$12:AC$21)&lt;1,IF(SUM(AC$6,AC$12:AC$21)+SUM((Y$7-AA$7)*IF($X$7&lt;3,1,0),(Y$8-AA$8)*IF($X$8&lt;3,1,0),(Y$9-AA$9)*IF($X$9&lt;3,1,0),(Y$10-AA$10)*IF($X$10&lt;3,1,0),(Y$11-AA$11)*IF($X$11&lt;3,1,0))&lt;1,Y7-AA7,IF((1-SUM(AC$6,AC$12:AC$21))*$M7/SUM($M$7*IF($X$7&lt;3,1,0),$M$8*IF($X$8&lt;3,1,0),$M$9*IF($X$9&lt;3,1,0),$M$10*IF($X$10&lt;3,1,0),$M$11*IF($X$11&lt;3,1,0))&lt;Y7-AA7,(1-SUM(AC$6,AC$12:AC$21))*$M7/SUM($M$7*IF($X$7&lt;3,1,0),$M$8*IF($X$8&lt;3,1,0),$M$9*IF($X$9&lt;3,1,0),$M$10*IF($X$10&lt;3,1,0),$M$11*IF($X$11&lt;3,1,0)),Y7-AA7)),0),0)</f>
        <v>0</v>
      </c>
      <c r="AD7" s="124">
        <f>IF($Y7=0,0,AE7/$Y7)</f>
        <v>0</v>
      </c>
      <c r="AE7" s="120">
        <f>IF($X7&lt;4,IF(SUM(AE$6:AE$6,AE$12:AE$21)&lt;1,IF(SUM(AE$6:AE$6,AE$12:AE$21)+SUM((Y$7-AA$7-AC$7)*IF($X$7&lt;3,1,0),(Y$8-AA$8-AC$8)*IF($X$8&lt;3,1,0),(Y$9-AA$9-AC$9)*IF($X$9&lt;3,1,0),(Y$10-AA$10-AC$10)*IF($X$10&lt;3,1,0),(Y$11-AA$11-AC$11)*IF($X$11&lt;3,1,0))&lt;1,Y7-AA7-AC7,IF((1-SUM(AE$6:AE$6,AE$12:AE$21))*$M7/SUM($M$7*IF($X$7&lt;4,1,0),$M$8*IF($X$8&lt;4,1,0),$M$9*IF($X$9&lt;4,1,0),$M$10*IF($X$10&lt;4,1,0),$M$11*IF($X$11&lt;4,1,0))&lt;Y7-AA7-AC7,(1-SUM(AE$6:AE$6,AE$12:AE$21))*$M7/SUM($M$7*IF($X$7&lt;4,1,0),$M$8*IF($X$8&lt;4,1,0),$M$9*IF($X$9&lt;4,1,0),$M$10*IF($X$10&lt;4,1,0),$M$11*IF($X$11&lt;4,1,0)),Y7-AA7-AC7)),0),0)</f>
        <v>0</v>
      </c>
      <c r="AF7" s="121">
        <f t="shared" ref="AF7:AF21" si="10">1-SUM(Z7,AB7,AD7)</f>
        <v>1</v>
      </c>
      <c r="AG7" s="120">
        <f t="shared" ref="AG7:AG21" si="11">$M7*AF7*4</f>
        <v>0</v>
      </c>
      <c r="AH7" s="122">
        <f t="shared" ref="AH7:AH22" si="12">SUM(Z7,AB7,AD7,AF7)</f>
        <v>1</v>
      </c>
      <c r="AI7" s="184">
        <f t="shared" ref="AI7:AI22" si="13">SUM(AA7,AC7,AE7,AG7)/4</f>
        <v>0</v>
      </c>
      <c r="AJ7" s="119">
        <f t="shared" ref="AJ7:AJ23" si="14">(AA7+AC7)/2</f>
        <v>0</v>
      </c>
      <c r="AK7" s="118">
        <f t="shared" ref="AK7:AK23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216">
        <f>IF([1]Summ!C1046="",0,[1]Summ!C1046)</f>
        <v>4.1666666666666664E-2</v>
      </c>
      <c r="C8" s="216">
        <f>IF([1]Summ!D1046="",0,[1]Summ!D1046)</f>
        <v>0</v>
      </c>
      <c r="D8" s="24">
        <f t="shared" si="0"/>
        <v>4.1666666666666664E-2</v>
      </c>
      <c r="E8" s="75">
        <f>Poor!E8</f>
        <v>1</v>
      </c>
      <c r="F8" s="22" t="s">
        <v>24</v>
      </c>
      <c r="H8" s="24">
        <f t="shared" si="1"/>
        <v>1</v>
      </c>
      <c r="I8" s="22">
        <f t="shared" si="2"/>
        <v>4.1666666666666664E-2</v>
      </c>
      <c r="J8" s="24">
        <f t="shared" si="3"/>
        <v>4.1666666666666664E-2</v>
      </c>
      <c r="K8" s="22">
        <f t="shared" si="4"/>
        <v>4.1666666666666664E-2</v>
      </c>
      <c r="L8" s="22">
        <f t="shared" si="5"/>
        <v>4.1666666666666664E-2</v>
      </c>
      <c r="M8" s="226">
        <f t="shared" si="6"/>
        <v>4.1666666666666664E-2</v>
      </c>
      <c r="N8" s="231">
        <v>1</v>
      </c>
      <c r="O8" s="2"/>
      <c r="P8" s="22"/>
      <c r="Q8" s="59" t="s">
        <v>74</v>
      </c>
      <c r="R8" s="224">
        <f>IF($B$68=0,0,(SUMIF($N$6:$N$20,$U8,K$6:K$20)+SUMIF($N$78:$N$100,$U8,K$78:K$100))*$I$70*Poor!$B$68/$B$68)</f>
        <v>0</v>
      </c>
      <c r="S8" s="224">
        <f>IF($B$68=0,0,(SUMIF($N$6:$N$20,$U8,L$6:L$20)+SUMIF($N$78:$N$100,$U8,L$78:L$100))*$I$70*Poor!$B$68/$B$68)</f>
        <v>0</v>
      </c>
      <c r="T8" s="224">
        <f>IF($B$68=0,0,(SUMIF($N$6:$N$20,$U8,M$6:M$20)+SUMIF($N$78:$N$100,$U8,M$78:M$100))*$I$70*Poor!$B$68/$B$68)</f>
        <v>0</v>
      </c>
      <c r="U8" s="225">
        <v>2</v>
      </c>
      <c r="V8" s="56"/>
      <c r="W8" s="114"/>
      <c r="X8" s="117">
        <f>Poor!X8</f>
        <v>1</v>
      </c>
      <c r="Y8" s="184">
        <f t="shared" si="9"/>
        <v>0.16666666666666666</v>
      </c>
      <c r="Z8" s="124">
        <f>IF($Y8=0,0,AA8/$Y8)</f>
        <v>0.47768591276388056</v>
      </c>
      <c r="AA8" s="120">
        <f>IF($X8=1,IF(SUM(AA$6,AA$12:AA$21)&lt;1,IF((1-SUM(AA$6,AA$12:AA$21))*$M8/SUM($M$7*IF($X$7=1,1,0),$M$8*IF($X$8=1,1,0),$M$9*IF($X$9=1,1,0),$M$10*IF($X$10=1,1,0),$M$11*IF($X$11=1,1,0))&lt;Y8,(1-SUM(AA$6,AA$12:AA$21))*$M8/SUM($M$7*IF($X$7=1,1,0),$M$8*IF($X$8=1,1,0),$M$9*IF($X$9=1,1,0),$M$10*IF($X$10=1,1,0),$M$11*IF($X$11=1,1,0)),Y8),0),0)</f>
        <v>7.9614318793980093E-2</v>
      </c>
      <c r="AB8" s="124">
        <f>IF($Y8=0,0,AC8/$Y8)</f>
        <v>0.47768591276388056</v>
      </c>
      <c r="AC8" s="120">
        <f>IF($X8&lt;3,IF(SUM(AC$6,AC$12:AC$21)&lt;1,IF(SUM(AC$6,AC$12:AC$21)+SUM((Y$7-AA$7)*IF($X$7&lt;3,1,0),(Y$8-AA$8)*IF($X$8&lt;3,1,0),(Y$9-AA$9)*IF($X$9&lt;3,1,0),(Y$10-AA$10)*IF($X$10&lt;3,1,0),(Y$11-AA$11)*IF($X$11&lt;3,1,0))&lt;1,Y8-AA8,IF((1-SUM(AC$6,AC$12:AC$21))*$M8/SUM($M$7*IF($X$7&lt;3,1,0),$M$8*IF($X$8&lt;3,1,0),$M$9*IF($X$9&lt;3,1,0),$M$10*IF($X$10&lt;3,1,0),$M$11*IF($X$11&lt;3,1,0))&lt;Y8-AA8,(1-SUM(AC$6,AC$12:AC$21))*$M8/SUM($M$7*IF($X$7&lt;3,1,0),$M$8*IF($X$8&lt;3,1,0),$M$9*IF($X$9&lt;3,1,0),$M$10*IF($X$10&lt;3,1,0),$M$11*IF($X$11&lt;3,1,0)),Y8-AA8)),0),0)</f>
        <v>7.9614318793980093E-2</v>
      </c>
      <c r="AD8" s="124">
        <f>IF($Y8=0,0,AE8/$Y8)</f>
        <v>4.4628174472238824E-2</v>
      </c>
      <c r="AE8" s="120">
        <f>IF($X8&lt;4,IF(SUM(AE$6:AE$6,AE$12:AE$21)&lt;1,IF(SUM(AE$6:AE$6,AE$12:AE$21)+SUM((Y$7-AA$7-AC$7)*IF($X$7&lt;3,1,0),(Y$8-AA$8-AC$8)*IF($X$8&lt;3,1,0),(Y$9-AA$9-AC$9)*IF($X$9&lt;3,1,0),(Y$10-AA$10-AC$10)*IF($X$10&lt;3,1,0),(Y$11-AA$11-AC$11)*IF($X$11&lt;3,1,0))&lt;1,Y8-AA8-AC8,IF((1-SUM(AE$6:AE$6,AE$12:AE$21))*$M8/SUM($M$7*IF($X$7&lt;4,1,0),$M$8*IF($X$8&lt;4,1,0),$M$9*IF($X$9&lt;4,1,0),$M$10*IF($X$10&lt;4,1,0),$M$11*IF($X$11&lt;4,1,0))&lt;Y8-AA8-AC8,(1-SUM(AE$6:AE$6,AE$12:AE$21))*$M8/SUM($M$7*IF($X$7&lt;4,1,0),$M$8*IF($X$8&lt;4,1,0),$M$9*IF($X$9&lt;4,1,0),$M$10*IF($X$10&lt;4,1,0),$M$11*IF($X$11&lt;4,1,0)),Y8-AA8-AC8)),0),0)</f>
        <v>7.4380290787064707E-3</v>
      </c>
      <c r="AF8" s="121">
        <f t="shared" si="10"/>
        <v>0</v>
      </c>
      <c r="AG8" s="120">
        <f t="shared" si="11"/>
        <v>0</v>
      </c>
      <c r="AH8" s="122">
        <f t="shared" si="12"/>
        <v>1</v>
      </c>
      <c r="AI8" s="184">
        <f t="shared" si="13"/>
        <v>4.1666666666666664E-2</v>
      </c>
      <c r="AJ8" s="119">
        <f t="shared" si="14"/>
        <v>7.9614318793980093E-2</v>
      </c>
      <c r="AK8" s="118">
        <f t="shared" si="15"/>
        <v>3.7190145393532353E-3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6">
        <f>IF([1]Summ!C1047="",0,[1]Summ!C1047)</f>
        <v>6.1511547945205469E-2</v>
      </c>
      <c r="C9" s="216">
        <f>IF([1]Summ!D1047="",0,[1]Summ!D1047)</f>
        <v>0</v>
      </c>
      <c r="D9" s="24">
        <f t="shared" si="0"/>
        <v>6.1511547945205469E-2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6.1511547945205469E-2</v>
      </c>
      <c r="J9" s="24">
        <f t="shared" si="3"/>
        <v>6.1511547945205469E-2</v>
      </c>
      <c r="K9" s="22">
        <f t="shared" si="4"/>
        <v>6.1511547945205469E-2</v>
      </c>
      <c r="L9" s="22">
        <f t="shared" si="5"/>
        <v>6.1511547945205469E-2</v>
      </c>
      <c r="M9" s="226">
        <f t="shared" si="6"/>
        <v>6.1511547945205469E-2</v>
      </c>
      <c r="N9" s="231">
        <v>1</v>
      </c>
      <c r="O9" s="2"/>
      <c r="P9" s="22"/>
      <c r="Q9" s="59" t="s">
        <v>75</v>
      </c>
      <c r="R9" s="224">
        <f>IF($B$68=0,0,(SUMIF($N$6:$N$20,$U9,K$6:K$20)+SUMIF($N$78:$N$100,$U9,K$78:K$100))*$I$70*Poor!$B$68/$B$68)</f>
        <v>0</v>
      </c>
      <c r="S9" s="224">
        <f>IF($B$68=0,0,(SUMIF($N$6:$N$20,$U9,L$6:L$20)+SUMIF($N$78:$N$100,$U9,L$78:L$100))*$I$70*Poor!$B$68/$B$68)</f>
        <v>0</v>
      </c>
      <c r="T9" s="224">
        <f>IF($B$68=0,0,(SUMIF($N$6:$N$20,$U9,M$6:M$20)+SUMIF($N$78:$N$100,$U9,M$78:M$100))*$I$70*Poor!$B$68/$B$68)</f>
        <v>0</v>
      </c>
      <c r="U9" s="225">
        <v>3</v>
      </c>
      <c r="V9" s="56"/>
      <c r="W9" s="114"/>
      <c r="X9" s="117">
        <f>Poor!X9</f>
        <v>1</v>
      </c>
      <c r="Y9" s="184">
        <f t="shared" si="9"/>
        <v>0.24604619178082188</v>
      </c>
      <c r="Z9" s="124">
        <f>IF($Y9=0,0,AA9/$Y9)</f>
        <v>0.47768591276388056</v>
      </c>
      <c r="AA9" s="120">
        <f>IF($X9=1,IF(SUM(AA$6,AA$12:AA$21)&lt;1,IF((1-SUM(AA$6,AA$12:AA$21))*$M9/SUM($M$7*IF($X$7=1,1,0),$M$8*IF($X$8=1,1,0),$M$9*IF($X$9=1,1,0),$M$10*IF($X$10=1,1,0),$M$11*IF($X$11=1,1,0))&lt;Y9,(1-SUM(AA$6,AA$12:AA$21))*$M9/SUM($M$7*IF($X$7=1,1,0),$M$8*IF($X$8=1,1,0),$M$9*IF($X$9=1,1,0),$M$10*IF($X$10=1,1,0),$M$11*IF($X$11=1,1,0)),Y9),0),0)</f>
        <v>0.1175327997028987</v>
      </c>
      <c r="AB9" s="124">
        <f>IF($Y9=0,0,AC9/$Y9)</f>
        <v>0.47768591276388056</v>
      </c>
      <c r="AC9" s="120">
        <f>IF($X9&lt;3,IF(SUM(AC$6,AC$12:AC$21)&lt;1,IF(SUM(AC$6,AC$12:AC$21)+SUM((Y$7-AA$7)*IF($X$7&lt;3,1,0),(Y$8-AA$8)*IF($X$8&lt;3,1,0),(Y$9-AA$9)*IF($X$9&lt;3,1,0),(Y$10-AA$10)*IF($X$10&lt;3,1,0),(Y$11-AA$11)*IF($X$11&lt;3,1,0))&lt;1,Y9-AA9,IF((1-SUM(AC$6,AC$12:AC$21))*$M9/SUM($M$7*IF($X$7&lt;3,1,0),$M$8*IF($X$8&lt;3,1,0),$M$9*IF($X$9&lt;3,1,0),$M$10*IF($X$10&lt;3,1,0),$M$11*IF($X$11&lt;3,1,0))&lt;Y9-AA9,(1-SUM(AC$6,AC$12:AC$21))*$M9/SUM($M$7*IF($X$7&lt;3,1,0),$M$8*IF($X$8&lt;3,1,0),$M$9*IF($X$9&lt;3,1,0),$M$10*IF($X$10&lt;3,1,0),$M$11*IF($X$11&lt;3,1,0)),Y9-AA9)),0),0)</f>
        <v>0.1175327997028987</v>
      </c>
      <c r="AD9" s="124">
        <f>IF($Y9=0,0,AE9/$Y9)</f>
        <v>4.462817447223888E-2</v>
      </c>
      <c r="AE9" s="120">
        <f>IF($X9&lt;4,IF(SUM(AE$6:AE$6,AE$12:AE$21)&lt;1,IF(SUM(AE$6:AE$6,AE$12:AE$21)+SUM((Y$7-AA$7-AC$7)*IF($X$7&lt;3,1,0),(Y$8-AA$8-AC$8)*IF($X$8&lt;3,1,0),(Y$9-AA$9-AC$9)*IF($X$9&lt;3,1,0),(Y$10-AA$10-AC$10)*IF($X$10&lt;3,1,0),(Y$11-AA$11-AC$11)*IF($X$11&lt;3,1,0))&lt;1,Y9-AA9-AC9,IF((1-SUM(AE$6:AE$6,AE$12:AE$21))*$M9/SUM($M$7*IF($X$7&lt;4,1,0),$M$8*IF($X$8&lt;4,1,0),$M$9*IF($X$9&lt;4,1,0),$M$10*IF($X$10&lt;4,1,0),$M$11*IF($X$11&lt;4,1,0))&lt;Y9-AA9-AC9,(1-SUM(AE$6:AE$6,AE$12:AE$21))*$M9/SUM($M$7*IF($X$7&lt;4,1,0),$M$8*IF($X$8&lt;4,1,0),$M$9*IF($X$9&lt;4,1,0),$M$10*IF($X$10&lt;4,1,0),$M$11*IF($X$11&lt;4,1,0)),Y9-AA9-AC9)),0),0)</f>
        <v>1.0980592375024467E-2</v>
      </c>
      <c r="AF9" s="121">
        <f t="shared" si="10"/>
        <v>0</v>
      </c>
      <c r="AG9" s="120">
        <f t="shared" si="11"/>
        <v>0</v>
      </c>
      <c r="AH9" s="122">
        <f t="shared" si="12"/>
        <v>1</v>
      </c>
      <c r="AI9" s="184">
        <f t="shared" si="13"/>
        <v>6.1511547945205469E-2</v>
      </c>
      <c r="AJ9" s="119">
        <f t="shared" si="14"/>
        <v>0.1175327997028987</v>
      </c>
      <c r="AK9" s="118">
        <f t="shared" si="15"/>
        <v>5.4902961875122336E-3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Cowpeas: kg produced</v>
      </c>
      <c r="B10" s="216">
        <f>IF([1]Summ!C1048="",0,[1]Summ!C1048)</f>
        <v>2.0681992528019926E-2</v>
      </c>
      <c r="C10" s="216">
        <f>IF([1]Summ!D1048="",0,[1]Summ!D1048)</f>
        <v>0</v>
      </c>
      <c r="D10" s="24">
        <f t="shared" si="0"/>
        <v>2.0681992528019926E-2</v>
      </c>
      <c r="E10" s="75">
        <f>Poor!E10</f>
        <v>1</v>
      </c>
      <c r="H10" s="24">
        <f t="shared" si="1"/>
        <v>1</v>
      </c>
      <c r="I10" s="22">
        <f t="shared" si="2"/>
        <v>2.0681992528019926E-2</v>
      </c>
      <c r="J10" s="24">
        <f t="shared" si="3"/>
        <v>2.0681992528019926E-2</v>
      </c>
      <c r="K10" s="22">
        <f t="shared" si="4"/>
        <v>2.0681992528019926E-2</v>
      </c>
      <c r="L10" s="22">
        <f t="shared" si="5"/>
        <v>2.0681992528019926E-2</v>
      </c>
      <c r="M10" s="226">
        <f t="shared" si="6"/>
        <v>2.0681992528019926E-2</v>
      </c>
      <c r="N10" s="231">
        <v>1</v>
      </c>
      <c r="O10" s="2"/>
      <c r="P10" s="22"/>
      <c r="Q10" s="59" t="s">
        <v>76</v>
      </c>
      <c r="R10" s="224">
        <f>IF($B$68=0,0,(SUMIF($N$6:$N$20,$U10,K$6:K$20)+SUMIF($N$78:$N$100,$U10,K$78:K$100))*$I$70*Poor!$B$68/$B$68)</f>
        <v>0</v>
      </c>
      <c r="S10" s="224">
        <f>IF($B$68=0,0,(SUMIF($N$6:$N$20,$U10,L$6:L$20)+SUMIF($N$78:$N$100,$U10,L$78:L$100))*$I$70*Poor!$B$68/$B$68)</f>
        <v>0</v>
      </c>
      <c r="T10" s="224">
        <f>IF($B$68=0,0,(SUMIF($N$6:$N$20,$U10,M$6:M$20)+SUMIF($N$78:$N$100,$U10,M$78:M$100))*$I$70*Poor!$B$68/$B$68)</f>
        <v>0</v>
      </c>
      <c r="U10" s="225">
        <v>4</v>
      </c>
      <c r="V10" s="56"/>
      <c r="W10" s="114"/>
      <c r="X10" s="117">
        <f>Poor!X10</f>
        <v>1</v>
      </c>
      <c r="Y10" s="184">
        <f t="shared" si="9"/>
        <v>8.2727970112079705E-2</v>
      </c>
      <c r="Z10" s="124">
        <f>IF($Y10=0,0,AA10/$Y10)</f>
        <v>0.4776859127638805</v>
      </c>
      <c r="AA10" s="120">
        <f>IF($X10=1,IF(SUM(AA$6,AA$12:AA$21)&lt;1,IF((1-SUM(AA$6,AA$12:AA$21))*$M10/SUM($M$7*IF($X$7=1,1,0),$M$8*IF($X$8=1,1,0),$M$9*IF($X$9=1,1,0),$M$10*IF($X$10=1,1,0),$M$11*IF($X$11=1,1,0))&lt;Y10,(1-SUM(AA$6,AA$12:AA$21))*$M10/SUM($M$7*IF($X$7=1,1,0),$M$8*IF($X$8=1,1,0),$M$9*IF($X$9=1,1,0),$M$10*IF($X$10=1,1,0),$M$11*IF($X$11=1,1,0)),Y10),0),0)</f>
        <v>3.9517985914091822E-2</v>
      </c>
      <c r="AB10" s="124">
        <f>IF($Y10=0,0,AC10/$Y10)</f>
        <v>0.4776859127638805</v>
      </c>
      <c r="AC10" s="120">
        <f>IF($X10&lt;3,IF(SUM(AC$6,AC$12:AC$21)&lt;1,IF(SUM(AC$6,AC$12:AC$21)+SUM((Y$7-AA$7)*IF($X$7&lt;3,1,0),(Y$8-AA$8)*IF($X$8&lt;3,1,0),(Y$9-AA$9)*IF($X$9&lt;3,1,0),(Y$10-AA$10)*IF($X$10&lt;3,1,0),(Y$11-AA$11)*IF($X$11&lt;3,1,0))&lt;1,Y10-AA10,IF((1-SUM(AC$6,AC$12:AC$21))*$M10/SUM($M$7*IF($X$7&lt;3,1,0),$M$8*IF($X$8&lt;3,1,0),$M$9*IF($X$9&lt;3,1,0),$M$10*IF($X$10&lt;3,1,0),$M$11*IF($X$11&lt;3,1,0))&lt;Y10-AA10,(1-SUM(AC$6,AC$12:AC$21))*$M10/SUM($M$7*IF($X$7&lt;3,1,0),$M$8*IF($X$8&lt;3,1,0),$M$9*IF($X$9&lt;3,1,0),$M$10*IF($X$10&lt;3,1,0),$M$11*IF($X$11&lt;3,1,0)),Y10-AA10)),0),0)</f>
        <v>3.9517985914091822E-2</v>
      </c>
      <c r="AD10" s="124">
        <f>IF($Y10=0,0,AE10/$Y10)</f>
        <v>4.4628174472238935E-2</v>
      </c>
      <c r="AE10" s="120">
        <f>IF($X10&lt;4,IF(SUM(AE$6:AE$6,AE$12:AE$21)&lt;1,IF(SUM(AE$6:AE$6,AE$12:AE$21)+SUM((Y$7-AA$7-AC$7)*IF($X$7&lt;3,1,0),(Y$8-AA$8-AC$8)*IF($X$8&lt;3,1,0),(Y$9-AA$9-AC$9)*IF($X$9&lt;3,1,0),(Y$10-AA$10-AC$10)*IF($X$10&lt;3,1,0),(Y$11-AA$11-AC$11)*IF($X$11&lt;3,1,0))&lt;1,Y10-AA10-AC10,IF((1-SUM(AE$6:AE$6,AE$12:AE$21))*$M10/SUM($M$7*IF($X$7&lt;4,1,0),$M$8*IF($X$8&lt;4,1,0),$M$9*IF($X$9&lt;4,1,0),$M$10*IF($X$10&lt;4,1,0),$M$11*IF($X$11&lt;4,1,0))&lt;Y10-AA10-AC10,(1-SUM(AE$6:AE$6,AE$12:AE$21))*$M10/SUM($M$7*IF($X$7&lt;4,1,0),$M$8*IF($X$8&lt;4,1,0),$M$9*IF($X$9&lt;4,1,0),$M$10*IF($X$10&lt;4,1,0),$M$11*IF($X$11&lt;4,1,0)),Y10-AA10-AC10)),0),0)</f>
        <v>3.6919982838960613E-3</v>
      </c>
      <c r="AF10" s="121">
        <f t="shared" si="10"/>
        <v>0</v>
      </c>
      <c r="AG10" s="120">
        <f t="shared" si="11"/>
        <v>0</v>
      </c>
      <c r="AH10" s="122">
        <f t="shared" si="12"/>
        <v>1</v>
      </c>
      <c r="AI10" s="184">
        <f t="shared" si="13"/>
        <v>2.0681992528019926E-2</v>
      </c>
      <c r="AJ10" s="119">
        <f t="shared" si="14"/>
        <v>3.9517985914091822E-2</v>
      </c>
      <c r="AK10" s="118">
        <f t="shared" si="15"/>
        <v>1.8459991419480307E-3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216">
        <f>IF([1]Summ!C1049="",0,[1]Summ!C1049)</f>
        <v>3.5350565379825657E-2</v>
      </c>
      <c r="C11" s="216">
        <f>IF([1]Summ!D1049="",0,[1]Summ!D1049)</f>
        <v>0</v>
      </c>
      <c r="D11" s="24">
        <f t="shared" si="0"/>
        <v>3.5350565379825657E-2</v>
      </c>
      <c r="E11" s="75">
        <f>Poor!E11</f>
        <v>1</v>
      </c>
      <c r="H11" s="24">
        <f t="shared" si="1"/>
        <v>1</v>
      </c>
      <c r="I11" s="22">
        <f t="shared" si="2"/>
        <v>3.5350565379825657E-2</v>
      </c>
      <c r="J11" s="24">
        <f t="shared" si="3"/>
        <v>3.5350565379825657E-2</v>
      </c>
      <c r="K11" s="22">
        <f t="shared" si="4"/>
        <v>3.5350565379825657E-2</v>
      </c>
      <c r="L11" s="22">
        <f t="shared" si="5"/>
        <v>3.5350565379825657E-2</v>
      </c>
      <c r="M11" s="226">
        <f t="shared" si="6"/>
        <v>3.5350565379825657E-2</v>
      </c>
      <c r="N11" s="231">
        <v>1</v>
      </c>
      <c r="O11" s="2"/>
      <c r="P11" s="22"/>
      <c r="Q11" s="59" t="s">
        <v>77</v>
      </c>
      <c r="R11" s="224">
        <f>IF($B$68=0,0,(SUMIF($N$6:$N$20,$U11,K$6:K$20)+SUMIF($N$78:$N$100,$U11,K$78:K$100))*$I$70*Poor!$B$68/$B$68)</f>
        <v>711.20000000000016</v>
      </c>
      <c r="S11" s="224">
        <f>IF($B$68=0,0,(SUMIF($N$6:$N$20,$U11,L$6:L$20)+SUMIF($N$78:$N$100,$U11,L$78:L$100))*$I$70*Poor!$B$68/$B$68)</f>
        <v>662.15</v>
      </c>
      <c r="T11" s="224">
        <f>IF($B$68=0,0,(SUMIF($N$6:$N$20,$U11,M$6:M$20)+SUMIF($N$78:$N$100,$U11,M$78:M$100))*$I$70*Poor!$B$68/$B$68)</f>
        <v>662.15</v>
      </c>
      <c r="U11" s="225">
        <v>5</v>
      </c>
      <c r="V11" s="56"/>
      <c r="W11" s="114"/>
      <c r="X11" s="117">
        <f>Poor!X11</f>
        <v>1</v>
      </c>
      <c r="Y11" s="184">
        <f t="shared" si="9"/>
        <v>0.14140226151930263</v>
      </c>
      <c r="Z11" s="124">
        <f>IF($Y11=0,0,AA11/$Y11)</f>
        <v>0.47768591276388062</v>
      </c>
      <c r="AA11" s="120">
        <f>IF($X11=1,IF(SUM(AA$6,AA$12:AA$21)&lt;1,IF((1-SUM(AA$6,AA$12:AA$21))*$M11/SUM($M$7*IF($X$7=1,1,0),$M$8*IF($X$8=1,1,0),$M$9*IF($X$9=1,1,0),$M$10*IF($X$10=1,1,0),$M$11*IF($X$11=1,1,0))&lt;Y11,(1-SUM(AA$6,AA$12:AA$21))*$M11/SUM($M$7*IF($X$7=1,1,0),$M$8*IF($X$8=1,1,0),$M$9*IF($X$9=1,1,0),$M$10*IF($X$10=1,1,0),$M$11*IF($X$11=1,1,0)),Y11),0),0)</f>
        <v>6.7545868360725028E-2</v>
      </c>
      <c r="AB11" s="124">
        <f>IF($Y11=0,0,AC11/$Y11)</f>
        <v>0.47768591276388062</v>
      </c>
      <c r="AC11" s="120">
        <f>IF($X11&lt;3,IF(SUM(AC$6,AC$12:AC$21)&lt;1,IF(SUM(AC$6,AC$12:AC$21)+SUM((Y$7-AA$7)*IF($X$7&lt;3,1,0),(Y$8-AA$8)*IF($X$8&lt;3,1,0),(Y$9-AA$9)*IF($X$9&lt;3,1,0),(Y$10-AA$10)*IF($X$10&lt;3,1,0),(Y$11-AA$11)*IF($X$11&lt;3,1,0))&lt;1,Y11-AA11,IF((1-SUM(AC$6,AC$12:AC$21))*$M11/SUM($M$7*IF($X$7&lt;3,1,0),$M$8*IF($X$8&lt;3,1,0),$M$9*IF($X$9&lt;3,1,0),$M$10*IF($X$10&lt;3,1,0),$M$11*IF($X$11&lt;3,1,0))&lt;Y11-AA11,(1-SUM(AC$6,AC$12:AC$21))*$M11/SUM($M$7*IF($X$7&lt;3,1,0),$M$8*IF($X$8&lt;3,1,0),$M$9*IF($X$9&lt;3,1,0),$M$10*IF($X$10&lt;3,1,0),$M$11*IF($X$11&lt;3,1,0)),Y11-AA11)),0),0)</f>
        <v>6.7545868360725028E-2</v>
      </c>
      <c r="AD11" s="124">
        <f>IF($Y11=0,0,AE11/$Y11)</f>
        <v>4.4628174472238782E-2</v>
      </c>
      <c r="AE11" s="120">
        <f>IF($X11&lt;4,IF(SUM(AE$6:AE$6,AE$12:AE$21)&lt;1,IF(SUM(AE$6:AE$6,AE$12:AE$21)+SUM((Y$7-AA$7-AC$7)*IF($X$7&lt;3,1,0),(Y$8-AA$8-AC$8)*IF($X$8&lt;3,1,0),(Y$9-AA$9-AC$9)*IF($X$9&lt;3,1,0),(Y$10-AA$10-AC$10)*IF($X$10&lt;3,1,0),(Y$11-AA$11-AC$11)*IF($X$11&lt;3,1,0))&lt;1,Y11-AA11-AC11,IF((1-SUM(AE$6:AE$6,AE$12:AE$21))*$M11/SUM($M$7*IF($X$7&lt;4,1,0),$M$8*IF($X$8&lt;4,1,0),$M$9*IF($X$9&lt;4,1,0),$M$10*IF($X$10&lt;4,1,0),$M$11*IF($X$11&lt;4,1,0))&lt;Y11-AA11-AC11,(1-SUM(AE$6:AE$6,AE$12:AE$21))*$M11/SUM($M$7*IF($X$7&lt;4,1,0),$M$8*IF($X$8&lt;4,1,0),$M$9*IF($X$9&lt;4,1,0),$M$10*IF($X$10&lt;4,1,0),$M$11*IF($X$11&lt;4,1,0)),Y11-AA11-AC11)),0),0)</f>
        <v>6.3105247978525736E-3</v>
      </c>
      <c r="AF11" s="121">
        <f t="shared" si="10"/>
        <v>0</v>
      </c>
      <c r="AG11" s="120">
        <f t="shared" si="11"/>
        <v>0</v>
      </c>
      <c r="AH11" s="122">
        <f t="shared" si="12"/>
        <v>1</v>
      </c>
      <c r="AI11" s="184">
        <f t="shared" si="13"/>
        <v>3.5350565379825657E-2</v>
      </c>
      <c r="AJ11" s="119">
        <f t="shared" si="14"/>
        <v>6.7545868360725028E-2</v>
      </c>
      <c r="AK11" s="118">
        <f t="shared" si="15"/>
        <v>3.1552623989262868E-3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Pumpkin: kg produce</v>
      </c>
      <c r="B12" s="216">
        <f>IF([1]Summ!C1050="",0,[1]Summ!C1050)</f>
        <v>0</v>
      </c>
      <c r="C12" s="216">
        <f>IF([1]Summ!D1050="",0,[1]Summ!D1050)</f>
        <v>0</v>
      </c>
      <c r="D12" s="24">
        <f t="shared" si="0"/>
        <v>0</v>
      </c>
      <c r="E12" s="75">
        <f>Poor!E12</f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6">
        <f t="shared" si="6"/>
        <v>0</v>
      </c>
      <c r="N12" s="231">
        <v>1</v>
      </c>
      <c r="O12" s="2"/>
      <c r="P12" s="22"/>
      <c r="Q12" s="125" t="s">
        <v>126</v>
      </c>
      <c r="R12" s="224">
        <f>IF($B$68=0,0,(SUMIF($N$6:$N$20,$U12,K$6:K$20)+SUMIF($N$78:$N$100,$U12,K$78:K$100))*$I$70*Poor!$B$68/$B$68)</f>
        <v>716.80000000000007</v>
      </c>
      <c r="S12" s="224">
        <f>IF($B$68=0,0,(SUMIF($N$6:$N$20,$U12,L$6:L$20)+SUMIF($N$78:$N$100,$U12,L$78:L$100))*$I$70*Poor!$B$68/$B$68)</f>
        <v>512</v>
      </c>
      <c r="T12" s="224">
        <f>IF($B$68=0,0,(SUMIF($N$6:$N$20,$U12,M$6:M$20)+SUMIF($N$78:$N$100,$U12,M$78:M$100))*$I$70*Poor!$B$68/$B$68)</f>
        <v>792.25949273882077</v>
      </c>
      <c r="U12" s="225">
        <v>6</v>
      </c>
      <c r="V12" s="56"/>
      <c r="W12" s="116"/>
      <c r="X12" s="117">
        <v>1</v>
      </c>
      <c r="Y12" s="184">
        <f t="shared" si="9"/>
        <v>0</v>
      </c>
      <c r="Z12" s="155">
        <f>Poor!Z12</f>
        <v>0</v>
      </c>
      <c r="AA12" s="120">
        <f>$M12*Z12*4</f>
        <v>0</v>
      </c>
      <c r="AB12" s="155">
        <f>Poor!AB12</f>
        <v>0</v>
      </c>
      <c r="AC12" s="120">
        <f>$M12*AB12*4</f>
        <v>0</v>
      </c>
      <c r="AD12" s="155">
        <f>Poor!AD12</f>
        <v>0.67</v>
      </c>
      <c r="AE12" s="120">
        <f>$M12*AD12*4</f>
        <v>0</v>
      </c>
      <c r="AF12" s="121">
        <f>1-SUM(Z12,AB12,AD12)</f>
        <v>0.32999999999999996</v>
      </c>
      <c r="AG12" s="120">
        <f>$M12*AF12*4</f>
        <v>0</v>
      </c>
      <c r="AH12" s="122">
        <f t="shared" si="12"/>
        <v>1</v>
      </c>
      <c r="AI12" s="184">
        <f t="shared" si="13"/>
        <v>0</v>
      </c>
      <c r="AJ12" s="119">
        <f t="shared" si="14"/>
        <v>0</v>
      </c>
      <c r="AK12" s="118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Water melon: no. local meas</v>
      </c>
      <c r="B13" s="216">
        <f>IF([1]Summ!C1051="",0,[1]Summ!C1051)</f>
        <v>0</v>
      </c>
      <c r="C13" s="216">
        <f>IF([1]Summ!D1051="",0,[1]Summ!D1051)</f>
        <v>0</v>
      </c>
      <c r="D13" s="24">
        <f t="shared" si="0"/>
        <v>0</v>
      </c>
      <c r="E13" s="75">
        <f>Poor!E13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7">
        <f t="shared" si="6"/>
        <v>0</v>
      </c>
      <c r="N13" s="231">
        <v>1</v>
      </c>
      <c r="O13" s="2"/>
      <c r="P13" s="22"/>
      <c r="Q13" s="59" t="s">
        <v>78</v>
      </c>
      <c r="R13" s="224">
        <f>IF($B$68=0,0,(SUMIF($N$6:$N$20,$U13,K$6:K$20)+SUMIF($N$78:$N$100,$U13,K$78:K$100))*$I$70*Poor!$B$68/$B$68)</f>
        <v>6731.2000000000007</v>
      </c>
      <c r="S13" s="224">
        <f>IF($B$68=0,0,(SUMIF($N$6:$N$20,$U13,L$6:L$20)+SUMIF($N$78:$N$100,$U13,L$78:L$100))*$I$70*Poor!$B$68/$B$68)</f>
        <v>6408.2070000000012</v>
      </c>
      <c r="T13" s="224">
        <f>IF($B$68=0,0,(SUMIF($N$6:$N$20,$U13,M$6:M$20)+SUMIF($N$78:$N$100,$U13,M$78:M$100))*$I$70*Poor!$B$68/$B$68)</f>
        <v>6552.468348418417</v>
      </c>
      <c r="U13" s="225">
        <v>7</v>
      </c>
      <c r="V13" s="56"/>
      <c r="W13" s="109"/>
      <c r="X13" s="117"/>
      <c r="Y13" s="184">
        <f t="shared" si="9"/>
        <v>0</v>
      </c>
      <c r="Z13" s="155">
        <f>Poor!Z13</f>
        <v>1</v>
      </c>
      <c r="AA13" s="120">
        <f>$M13*Z13*4</f>
        <v>0</v>
      </c>
      <c r="AB13" s="155">
        <f>Poor!AB13</f>
        <v>0</v>
      </c>
      <c r="AC13" s="120">
        <f>$M13*AB13*4</f>
        <v>0</v>
      </c>
      <c r="AD13" s="155">
        <f>Poor!AD13</f>
        <v>0</v>
      </c>
      <c r="AE13" s="120">
        <f>$M13*AD13*4</f>
        <v>0</v>
      </c>
      <c r="AF13" s="121">
        <f>1-SUM(Z13,AB13,AD13)</f>
        <v>0</v>
      </c>
      <c r="AG13" s="120">
        <f>$M13*AF13*4</f>
        <v>0</v>
      </c>
      <c r="AH13" s="122">
        <f t="shared" si="12"/>
        <v>1</v>
      </c>
      <c r="AI13" s="184">
        <f t="shared" si="13"/>
        <v>0</v>
      </c>
      <c r="AJ13" s="119">
        <f t="shared" si="14"/>
        <v>0</v>
      </c>
      <c r="AK13" s="118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Sweet potato: no. local meas</v>
      </c>
      <c r="B14" s="216">
        <f>IF([1]Summ!C1052="",0,[1]Summ!C1052)</f>
        <v>0</v>
      </c>
      <c r="C14" s="216">
        <f>IF([1]Summ!D1052="",0,[1]Summ!D1052)</f>
        <v>0</v>
      </c>
      <c r="D14" s="24">
        <f t="shared" si="0"/>
        <v>0</v>
      </c>
      <c r="E14" s="75">
        <f>Poor!E14</f>
        <v>1</v>
      </c>
      <c r="F14" s="22"/>
      <c r="H14" s="24">
        <f t="shared" si="1"/>
        <v>1</v>
      </c>
      <c r="I14" s="22">
        <f t="shared" si="2"/>
        <v>0</v>
      </c>
      <c r="J14" s="24">
        <f>IF(I$24&lt;=1+I113,I14,B14*H14+J$25*(I14-B14*H14))</f>
        <v>0</v>
      </c>
      <c r="K14" s="22">
        <f t="shared" si="4"/>
        <v>0</v>
      </c>
      <c r="L14" s="22">
        <f t="shared" si="5"/>
        <v>0</v>
      </c>
      <c r="M14" s="227">
        <f t="shared" si="6"/>
        <v>0</v>
      </c>
      <c r="N14" s="231">
        <v>1</v>
      </c>
      <c r="O14" s="2"/>
      <c r="P14" s="22"/>
      <c r="Q14" s="125" t="s">
        <v>79</v>
      </c>
      <c r="R14" s="224">
        <f>IF($B$68=0,0,(SUMIF($N$6:$N$20,$U14,K$6:K$20)+SUMIF($N$78:$N$100,$U14,K$78:K$100))*$I$70*Poor!$B$68/$B$68)</f>
        <v>0</v>
      </c>
      <c r="S14" s="224">
        <f>IF($B$68=0,0,(SUMIF($N$6:$N$20,$U14,L$6:L$20)+SUMIF($N$78:$N$100,$U14,L$78:L$100))*$I$70*Poor!$B$68/$B$68)</f>
        <v>0</v>
      </c>
      <c r="T14" s="224">
        <f>IF($B$68=0,0,(SUMIF($N$6:$N$20,$U14,M$6:M$20)+SUMIF($N$78:$N$100,$U14,M$78:M$100))*$I$70*Poor!$B$68/$B$68)</f>
        <v>0</v>
      </c>
      <c r="U14" s="225">
        <v>8</v>
      </c>
      <c r="V14" s="56"/>
      <c r="W14" s="109"/>
      <c r="X14" s="117"/>
      <c r="Y14" s="184">
        <f>M14*4</f>
        <v>0</v>
      </c>
      <c r="Z14" s="155">
        <f>Poor!Z14</f>
        <v>0</v>
      </c>
      <c r="AA14" s="120">
        <f t="shared" ref="AA14:AA21" si="16">$M14*Z14*4</f>
        <v>0</v>
      </c>
      <c r="AB14" s="155">
        <f>Poor!AB14</f>
        <v>1</v>
      </c>
      <c r="AC14" s="120">
        <f t="shared" si="7"/>
        <v>0</v>
      </c>
      <c r="AD14" s="155">
        <f>Poor!AD14</f>
        <v>0</v>
      </c>
      <c r="AE14" s="120">
        <f t="shared" si="8"/>
        <v>0</v>
      </c>
      <c r="AF14" s="121">
        <f t="shared" si="10"/>
        <v>0</v>
      </c>
      <c r="AG14" s="120">
        <f t="shared" si="11"/>
        <v>0</v>
      </c>
      <c r="AH14" s="127">
        <f>SUM(Z14,AB14,AD14,AF14)</f>
        <v>1</v>
      </c>
      <c r="AI14" s="184">
        <f>SUM(AA14,AC14,AE14,AG14)/4</f>
        <v>0</v>
      </c>
      <c r="AJ14" s="119">
        <f t="shared" si="14"/>
        <v>0</v>
      </c>
      <c r="AK14" s="118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Groundnuts (dry): no. local meas</v>
      </c>
      <c r="B15" s="216">
        <f>IF([1]Summ!C1053="",0,[1]Summ!C1053)</f>
        <v>2.6415162515566623E-2</v>
      </c>
      <c r="C15" s="216">
        <f>IF([1]Summ!D1053="",0,[1]Summ!D1053)</f>
        <v>0</v>
      </c>
      <c r="D15" s="24">
        <f t="shared" si="0"/>
        <v>2.6415162515566623E-2</v>
      </c>
      <c r="E15" s="75">
        <f>Poor!E15</f>
        <v>1</v>
      </c>
      <c r="F15" s="22"/>
      <c r="H15" s="24">
        <f t="shared" si="1"/>
        <v>1</v>
      </c>
      <c r="I15" s="22">
        <f t="shared" si="2"/>
        <v>2.6415162515566623E-2</v>
      </c>
      <c r="J15" s="24">
        <f>IF(I$24&lt;=1+I113,I15,B15*H15+J$25*(I15-B15*H15))</f>
        <v>2.6415162515566623E-2</v>
      </c>
      <c r="K15" s="22">
        <f t="shared" si="4"/>
        <v>2.6415162515566623E-2</v>
      </c>
      <c r="L15" s="22">
        <f t="shared" si="5"/>
        <v>2.6415162515566623E-2</v>
      </c>
      <c r="M15" s="228">
        <f t="shared" si="6"/>
        <v>2.6415162515566623E-2</v>
      </c>
      <c r="N15" s="231">
        <v>1</v>
      </c>
      <c r="O15" s="2"/>
      <c r="P15" s="22"/>
      <c r="Q15" s="59" t="s">
        <v>130</v>
      </c>
      <c r="R15" s="224">
        <f>IF($B$68=0,0,(SUMIF($N$6:$N$20,$U15,K$6:K$20)+SUMIF($N$78:$N$100,$U15,K$78:K$100))*$I$70*Poor!$B$68/$B$68)</f>
        <v>0</v>
      </c>
      <c r="S15" s="224">
        <f>IF($B$68=0,0,(SUMIF($N$6:$N$20,$U15,L$6:L$20)+SUMIF($N$78:$N$100,$U15,L$78:L$100))*$I$70*Poor!$B$68/$B$68)</f>
        <v>0</v>
      </c>
      <c r="T15" s="224">
        <f>IF($B$68=0,0,(SUMIF($N$6:$N$20,$U15,M$6:M$20)+SUMIF($N$78:$N$100,$U15,M$78:M$100))*$I$70*Poor!$B$68/$B$68)</f>
        <v>0</v>
      </c>
      <c r="U15" s="225">
        <v>9</v>
      </c>
      <c r="V15" s="56"/>
      <c r="W15" s="109"/>
      <c r="X15" s="117"/>
      <c r="Y15" s="184">
        <f t="shared" si="9"/>
        <v>0.10566065006226649</v>
      </c>
      <c r="Z15" s="155">
        <f>Poor!Z15</f>
        <v>0.25</v>
      </c>
      <c r="AA15" s="120">
        <f t="shared" si="16"/>
        <v>2.6415162515566623E-2</v>
      </c>
      <c r="AB15" s="155">
        <f>Poor!AB15</f>
        <v>0.25</v>
      </c>
      <c r="AC15" s="120">
        <f t="shared" si="7"/>
        <v>2.6415162515566623E-2</v>
      </c>
      <c r="AD15" s="155">
        <f>Poor!AD15</f>
        <v>0.25</v>
      </c>
      <c r="AE15" s="120">
        <f t="shared" si="8"/>
        <v>2.6415162515566623E-2</v>
      </c>
      <c r="AF15" s="121">
        <f t="shared" si="10"/>
        <v>0.25</v>
      </c>
      <c r="AG15" s="120">
        <f t="shared" si="11"/>
        <v>2.6415162515566623E-2</v>
      </c>
      <c r="AH15" s="122">
        <f t="shared" si="12"/>
        <v>1</v>
      </c>
      <c r="AI15" s="184">
        <f t="shared" si="13"/>
        <v>2.6415162515566623E-2</v>
      </c>
      <c r="AJ15" s="119">
        <f t="shared" si="14"/>
        <v>2.6415162515566623E-2</v>
      </c>
      <c r="AK15" s="118">
        <f t="shared" si="15"/>
        <v>2.6415162515566623E-2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WILD FOODS -- see worksheet Data 3</v>
      </c>
      <c r="B16" s="216">
        <f>IF([1]Summ!C1054="",0,[1]Summ!C1054)</f>
        <v>0</v>
      </c>
      <c r="C16" s="216">
        <f>IF([1]Summ!D1054="",0,[1]Summ!D1054)</f>
        <v>0.03</v>
      </c>
      <c r="D16" s="24">
        <f t="shared" si="0"/>
        <v>0.03</v>
      </c>
      <c r="E16" s="75">
        <f>Poor!E16</f>
        <v>0.8</v>
      </c>
      <c r="F16" s="22"/>
      <c r="H16" s="24">
        <f t="shared" si="1"/>
        <v>0.8</v>
      </c>
      <c r="I16" s="22">
        <f t="shared" si="2"/>
        <v>2.4E-2</v>
      </c>
      <c r="J16" s="24">
        <f>IF(I$24&lt;=1+I113,I16,B16*H16+J$25*(I16-B16*H16))</f>
        <v>2.4E-2</v>
      </c>
      <c r="K16" s="22">
        <f t="shared" si="4"/>
        <v>0</v>
      </c>
      <c r="L16" s="22">
        <f t="shared" si="5"/>
        <v>0</v>
      </c>
      <c r="M16" s="226">
        <f t="shared" si="6"/>
        <v>2.4E-2</v>
      </c>
      <c r="N16" s="231">
        <v>6</v>
      </c>
      <c r="O16" s="2"/>
      <c r="P16" s="22"/>
      <c r="Q16" s="125" t="s">
        <v>80</v>
      </c>
      <c r="R16" s="224">
        <f>IF($B$68=0,0,(SUMIF($N$6:$N$20,$U16,K$6:K$20)+SUMIF($N$78:$N$100,$U16,K$78:K$100))*$I$70*Poor!$B$68/$B$68)</f>
        <v>4032.0000000000005</v>
      </c>
      <c r="S16" s="224">
        <f>IF($B$68=0,0,(SUMIF($N$6:$N$20,$U16,L$6:L$20)+SUMIF($N$78:$N$100,$U16,L$78:L$100))*$I$70*Poor!$B$68/$B$68)</f>
        <v>3960.0000000000005</v>
      </c>
      <c r="T16" s="224">
        <f>IF($B$68=0,0,(SUMIF($N$6:$N$20,$U16,M$6:M$20)+SUMIF($N$78:$N$100,$U16,M$78:M$100))*$I$70*Poor!$B$68/$B$68)</f>
        <v>3842.0959587347329</v>
      </c>
      <c r="U16" s="225">
        <v>10</v>
      </c>
      <c r="V16" s="56"/>
      <c r="W16" s="109"/>
      <c r="X16" s="117"/>
      <c r="Y16" s="184">
        <f t="shared" si="9"/>
        <v>9.6000000000000002E-2</v>
      </c>
      <c r="Z16" s="155">
        <f>Poor!Z16</f>
        <v>0</v>
      </c>
      <c r="AA16" s="120">
        <f t="shared" si="16"/>
        <v>0</v>
      </c>
      <c r="AB16" s="155">
        <f>Poor!AB16</f>
        <v>0</v>
      </c>
      <c r="AC16" s="120">
        <f t="shared" si="7"/>
        <v>0</v>
      </c>
      <c r="AD16" s="155">
        <f>Poor!AD16</f>
        <v>0</v>
      </c>
      <c r="AE16" s="120">
        <f t="shared" si="8"/>
        <v>0</v>
      </c>
      <c r="AF16" s="121">
        <f t="shared" si="10"/>
        <v>1</v>
      </c>
      <c r="AG16" s="120">
        <f t="shared" si="11"/>
        <v>9.6000000000000002E-2</v>
      </c>
      <c r="AH16" s="122">
        <f t="shared" si="12"/>
        <v>1</v>
      </c>
      <c r="AI16" s="184">
        <f t="shared" si="13"/>
        <v>2.4E-2</v>
      </c>
      <c r="AJ16" s="119">
        <f t="shared" si="14"/>
        <v>0</v>
      </c>
      <c r="AK16" s="118">
        <f t="shared" si="15"/>
        <v>4.8000000000000001E-2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Labour: Harvesting</v>
      </c>
      <c r="B17" s="216">
        <f>IF([1]Summ!C1055="",0,[1]Summ!C1055)</f>
        <v>0</v>
      </c>
      <c r="C17" s="216">
        <f>IF([1]Summ!D1055="",0,[1]Summ!D1055)</f>
        <v>0</v>
      </c>
      <c r="D17" s="24">
        <f t="shared" si="0"/>
        <v>0</v>
      </c>
      <c r="E17" s="75">
        <f>Poor!E17</f>
        <v>0.87</v>
      </c>
      <c r="F17" s="22"/>
      <c r="H17" s="24">
        <f t="shared" si="1"/>
        <v>0.87</v>
      </c>
      <c r="I17" s="22">
        <f t="shared" si="2"/>
        <v>0</v>
      </c>
      <c r="J17" s="24">
        <f>IF(I$24&lt;=1+I113,I17,B17*H17+J$25*(I17-B17*H17))</f>
        <v>0</v>
      </c>
      <c r="K17" s="22">
        <f t="shared" si="4"/>
        <v>0</v>
      </c>
      <c r="L17" s="22">
        <f t="shared" si="5"/>
        <v>0</v>
      </c>
      <c r="M17" s="227">
        <f t="shared" si="6"/>
        <v>0</v>
      </c>
      <c r="N17" s="231">
        <v>7</v>
      </c>
      <c r="O17" s="2"/>
      <c r="P17" s="22"/>
      <c r="Q17" s="125" t="s">
        <v>127</v>
      </c>
      <c r="R17" s="224">
        <f>IF($B$68=0,0,(SUMIF($N$6:$N$20,$U17,K$6:K$20)+SUMIF($N$78:$N$100,$U17,K$78:K$100))*$I$70*Poor!$B$68/$B$68)</f>
        <v>0</v>
      </c>
      <c r="S17" s="224">
        <f>IF($B$68=0,0,(SUMIF($N$6:$N$20,$U17,L$6:L$20)+SUMIF($N$78:$N$100,$U17,L$78:L$100))*$I$70*Poor!$B$68/$B$68)</f>
        <v>0</v>
      </c>
      <c r="T17" s="224">
        <f>IF($B$68=0,0,(SUMIF($N$6:$N$20,$U17,M$6:M$20)+SUMIF($N$78:$N$100,$U17,M$78:M$100))*$I$70*Poor!$B$68/$B$68)</f>
        <v>0</v>
      </c>
      <c r="U17" s="225">
        <v>11</v>
      </c>
      <c r="V17" s="56"/>
      <c r="W17" s="109"/>
      <c r="X17" s="117"/>
      <c r="Y17" s="184">
        <f t="shared" si="9"/>
        <v>0</v>
      </c>
      <c r="Z17" s="155">
        <f>Poor!Z17</f>
        <v>0.29409999999999997</v>
      </c>
      <c r="AA17" s="120">
        <f t="shared" si="16"/>
        <v>0</v>
      </c>
      <c r="AB17" s="155">
        <f>Poor!AB17</f>
        <v>0.17649999999999999</v>
      </c>
      <c r="AC17" s="120">
        <f t="shared" si="7"/>
        <v>0</v>
      </c>
      <c r="AD17" s="155">
        <f>Poor!AD17</f>
        <v>0.23530000000000001</v>
      </c>
      <c r="AE17" s="120">
        <f t="shared" si="8"/>
        <v>0</v>
      </c>
      <c r="AF17" s="121">
        <f t="shared" si="10"/>
        <v>0.29410000000000003</v>
      </c>
      <c r="AG17" s="120">
        <f t="shared" si="11"/>
        <v>0</v>
      </c>
      <c r="AH17" s="122">
        <f t="shared" si="12"/>
        <v>1</v>
      </c>
      <c r="AI17" s="184">
        <f t="shared" si="13"/>
        <v>0</v>
      </c>
      <c r="AJ17" s="119">
        <f t="shared" si="14"/>
        <v>0</v>
      </c>
      <c r="AK17" s="118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Food aid</v>
      </c>
      <c r="B18" s="216">
        <f>IF([1]Summ!C1056="",0,[1]Summ!C1056)</f>
        <v>8.3170254403131125E-2</v>
      </c>
      <c r="C18" s="216">
        <f>IF([1]Summ!D1056="",0,[1]Summ!D1056)</f>
        <v>0</v>
      </c>
      <c r="D18" s="24">
        <f t="shared" si="0"/>
        <v>8.3170254403131125E-2</v>
      </c>
      <c r="E18" s="75">
        <f>Poor!E18</f>
        <v>1</v>
      </c>
      <c r="F18" s="22"/>
      <c r="H18" s="24">
        <f t="shared" si="1"/>
        <v>1</v>
      </c>
      <c r="I18" s="22">
        <f t="shared" si="2"/>
        <v>8.3170254403131125E-2</v>
      </c>
      <c r="J18" s="24">
        <f>IF(I$24&lt;=1+I113,I18,B18*H18+J$25*(I18-B18*H18))</f>
        <v>8.3170254403131125E-2</v>
      </c>
      <c r="K18" s="22">
        <f t="shared" si="4"/>
        <v>8.3170254403131125E-2</v>
      </c>
      <c r="L18" s="22">
        <f t="shared" si="5"/>
        <v>8.3170254403131125E-2</v>
      </c>
      <c r="M18" s="226">
        <f t="shared" si="6"/>
        <v>8.3170254403131125E-2</v>
      </c>
      <c r="N18" s="231">
        <v>12</v>
      </c>
      <c r="O18" s="2"/>
      <c r="P18" s="22"/>
      <c r="Q18" s="59" t="s">
        <v>81</v>
      </c>
      <c r="R18" s="224">
        <f>IF($B$68=0,0,(SUMIF($N$6:$N$20,$U18,K$6:K$20)+SUMIF($N$78:$N$100,$U18,K$78:K$100))*$I$70*Poor!$B$68/$B$68)</f>
        <v>666.26128843769459</v>
      </c>
      <c r="S18" s="224">
        <f>IF($B$68=0,0,(SUMIF($N$6:$N$20,$U18,L$6:L$20)+SUMIF($N$78:$N$100,$U18,L$78:L$100))*$I$70*Poor!$B$68/$B$68)</f>
        <v>666.26128843769459</v>
      </c>
      <c r="T18" s="224">
        <f>IF($B$68=0,0,(SUMIF($N$6:$N$20,$U18,M$6:M$20)+SUMIF($N$78:$N$100,$U18,M$78:M$100))*$I$70*Poor!$B$68/$B$68)</f>
        <v>666.26128843769459</v>
      </c>
      <c r="U18" s="225">
        <v>12</v>
      </c>
      <c r="V18" s="56"/>
      <c r="W18" s="109"/>
      <c r="X18" s="117"/>
      <c r="Y18" s="184">
        <f t="shared" si="9"/>
        <v>0.3326810176125245</v>
      </c>
      <c r="Z18" s="155">
        <f>Poor!Z18</f>
        <v>0.25</v>
      </c>
      <c r="AA18" s="120">
        <f t="shared" si="16"/>
        <v>8.3170254403131125E-2</v>
      </c>
      <c r="AB18" s="155">
        <f>Poor!AB18</f>
        <v>0.25</v>
      </c>
      <c r="AC18" s="120">
        <f t="shared" si="7"/>
        <v>8.3170254403131125E-2</v>
      </c>
      <c r="AD18" s="155">
        <f>Poor!AD18</f>
        <v>0.25</v>
      </c>
      <c r="AE18" s="120">
        <f t="shared" si="8"/>
        <v>8.3170254403131125E-2</v>
      </c>
      <c r="AF18" s="121">
        <f t="shared" si="10"/>
        <v>0.25</v>
      </c>
      <c r="AG18" s="120">
        <f t="shared" si="11"/>
        <v>8.3170254403131125E-2</v>
      </c>
      <c r="AH18" s="122">
        <f t="shared" si="12"/>
        <v>1</v>
      </c>
      <c r="AI18" s="184">
        <f t="shared" si="13"/>
        <v>8.3170254403131125E-2</v>
      </c>
      <c r="AJ18" s="119">
        <f t="shared" si="14"/>
        <v>8.3170254403131125E-2</v>
      </c>
      <c r="AK18" s="118">
        <f t="shared" si="15"/>
        <v>8.3170254403131125E-2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Purchase - other food</v>
      </c>
      <c r="B19" s="216">
        <f>IF([1]Summ!C1057="",0,[1]Summ!C1057)</f>
        <v>2.2941780821917807E-2</v>
      </c>
      <c r="C19" s="216">
        <f>IF([1]Summ!D1057="",0,[1]Summ!D1057)</f>
        <v>-2.2941780821917807E-2</v>
      </c>
      <c r="D19" s="24">
        <f t="shared" si="0"/>
        <v>0</v>
      </c>
      <c r="E19" s="75">
        <f>Poor!E19</f>
        <v>1</v>
      </c>
      <c r="F19" s="22"/>
      <c r="H19" s="24">
        <f t="shared" si="1"/>
        <v>1</v>
      </c>
      <c r="I19" s="22">
        <f t="shared" si="2"/>
        <v>0</v>
      </c>
      <c r="J19" s="24">
        <f>IF(I$24&lt;=1+I113,I19,B19*H19+J$25*(I19-B19*H19))</f>
        <v>0</v>
      </c>
      <c r="K19" s="22">
        <f t="shared" si="4"/>
        <v>2.2941780821917807E-2</v>
      </c>
      <c r="L19" s="22">
        <f t="shared" si="5"/>
        <v>2.2941780821917807E-2</v>
      </c>
      <c r="M19" s="228">
        <f t="shared" si="6"/>
        <v>0</v>
      </c>
      <c r="N19" s="231"/>
      <c r="O19" s="2"/>
      <c r="P19" s="22"/>
      <c r="Q19" s="59" t="s">
        <v>82</v>
      </c>
      <c r="R19" s="224">
        <f>IF($B$68=0,0,(SUMIF($N$6:$N$20,$U19,K$6:K$20)+SUMIF($N$78:$N$100,$U19,K$78:K$100))*$I$70*Poor!$B$68/$B$68)</f>
        <v>0</v>
      </c>
      <c r="S19" s="224">
        <f>IF($B$68=0,0,(SUMIF($N$6:$N$20,$U19,L$6:L$20)+SUMIF($N$78:$N$100,$U19,L$78:L$100))*$I$70*Poor!$B$68/$B$68)</f>
        <v>0</v>
      </c>
      <c r="T19" s="224">
        <f>IF($B$68=0,0,(SUMIF($N$6:$N$20,$U19,M$6:M$20)+SUMIF($N$78:$N$100,$U19,M$78:M$100))*$I$70*Poor!$B$68/$B$68)</f>
        <v>0</v>
      </c>
      <c r="U19" s="225">
        <v>13</v>
      </c>
      <c r="V19" s="56"/>
      <c r="W19" s="109"/>
      <c r="X19" s="117"/>
      <c r="Y19" s="184">
        <f t="shared" si="9"/>
        <v>0</v>
      </c>
      <c r="Z19" s="155">
        <f>Poor!Z19</f>
        <v>0.25</v>
      </c>
      <c r="AA19" s="120">
        <f t="shared" si="16"/>
        <v>0</v>
      </c>
      <c r="AB19" s="155">
        <f>Poor!AB19</f>
        <v>0.25</v>
      </c>
      <c r="AC19" s="120">
        <f t="shared" si="7"/>
        <v>0</v>
      </c>
      <c r="AD19" s="155">
        <f>Poor!AD19</f>
        <v>0.25</v>
      </c>
      <c r="AE19" s="120">
        <f t="shared" si="8"/>
        <v>0</v>
      </c>
      <c r="AF19" s="121">
        <f t="shared" si="10"/>
        <v>0.25</v>
      </c>
      <c r="AG19" s="120">
        <f t="shared" si="11"/>
        <v>0</v>
      </c>
      <c r="AH19" s="122">
        <f t="shared" si="12"/>
        <v>1</v>
      </c>
      <c r="AI19" s="184">
        <f t="shared" si="13"/>
        <v>0</v>
      </c>
      <c r="AJ19" s="119">
        <f t="shared" si="14"/>
        <v>0</v>
      </c>
      <c r="AK19" s="118">
        <f t="shared" si="15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Purchase - desirable</v>
      </c>
      <c r="B20" s="216">
        <f>IF([1]Summ!C1058="",0,[1]Summ!C1058)</f>
        <v>6.88241095890411E-3</v>
      </c>
      <c r="C20" s="216">
        <f>IF([1]Summ!D1058="",0,[1]Summ!D1058)</f>
        <v>-6.88241095890411E-3</v>
      </c>
      <c r="D20" s="24">
        <f t="shared" si="0"/>
        <v>0</v>
      </c>
      <c r="E20" s="75">
        <f>Poor!E20</f>
        <v>1</v>
      </c>
      <c r="F20" s="22"/>
      <c r="H20" s="24">
        <f t="shared" si="1"/>
        <v>1</v>
      </c>
      <c r="I20" s="22">
        <f t="shared" si="2"/>
        <v>0</v>
      </c>
      <c r="J20" s="24">
        <f>IF(I$24&lt;=1+I113,I20,B20*H20+J$25*(I20-B20*H20))</f>
        <v>0</v>
      </c>
      <c r="K20" s="22">
        <f t="shared" si="4"/>
        <v>6.88241095890411E-3</v>
      </c>
      <c r="L20" s="22">
        <f t="shared" si="5"/>
        <v>6.88241095890411E-3</v>
      </c>
      <c r="M20" s="226">
        <f t="shared" si="6"/>
        <v>0</v>
      </c>
      <c r="N20" s="231"/>
      <c r="O20" s="2"/>
      <c r="P20" s="22"/>
      <c r="Q20" s="59" t="s">
        <v>83</v>
      </c>
      <c r="R20" s="224">
        <f>IF($B$68=0,0,(SUMIF($N$6:$N$20,$U20,K$6:K$20)+SUMIF($N$78:$N$100,$U20,K$78:K$100))*$I$70*Poor!$B$68/$B$68)</f>
        <v>22378.617310981866</v>
      </c>
      <c r="S20" s="224">
        <f>IF($B$68=0,0,(SUMIF($N$6:$N$20,$U20,L$6:L$20)+SUMIF($N$78:$N$100,$U20,L$78:L$100))*$I$70*Poor!$B$68/$B$68)</f>
        <v>22178.808227848105</v>
      </c>
      <c r="T20" s="224">
        <f>IF($B$68=0,0,(SUMIF($N$6:$N$20,$U20,M$6:M$20)+SUMIF($N$78:$N$100,$U20,M$78:M$100))*$I$70*Poor!$B$68/$B$68)</f>
        <v>22178.808227848105</v>
      </c>
      <c r="U20" s="225">
        <v>14</v>
      </c>
      <c r="V20" s="56"/>
      <c r="W20" s="109"/>
      <c r="X20" s="117"/>
      <c r="Y20" s="184">
        <f t="shared" si="9"/>
        <v>0</v>
      </c>
      <c r="Z20" s="155">
        <f>Poor!Z20</f>
        <v>0</v>
      </c>
      <c r="AA20" s="120">
        <f t="shared" si="16"/>
        <v>0</v>
      </c>
      <c r="AB20" s="155">
        <f>Poor!AB20</f>
        <v>0</v>
      </c>
      <c r="AC20" s="120">
        <f t="shared" si="7"/>
        <v>0</v>
      </c>
      <c r="AD20" s="155">
        <f>Poor!AD20</f>
        <v>0.5</v>
      </c>
      <c r="AE20" s="120">
        <f t="shared" si="8"/>
        <v>0</v>
      </c>
      <c r="AF20" s="121">
        <f t="shared" si="10"/>
        <v>0.5</v>
      </c>
      <c r="AG20" s="120">
        <f t="shared" si="11"/>
        <v>0</v>
      </c>
      <c r="AH20" s="122">
        <f t="shared" si="12"/>
        <v>1</v>
      </c>
      <c r="AI20" s="184">
        <f t="shared" si="13"/>
        <v>0</v>
      </c>
      <c r="AJ20" s="119">
        <f t="shared" si="14"/>
        <v>0</v>
      </c>
      <c r="AK20" s="118">
        <f t="shared" si="15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Purchase - fpl non staple</v>
      </c>
      <c r="B21" s="216">
        <f>IF([1]Summ!C1059="",0,[1]Summ!C1059)</f>
        <v>0.2047118648816936</v>
      </c>
      <c r="C21" s="216">
        <f>IF([1]Summ!D1059="",0,[1]Summ!D1059)</f>
        <v>0.38149174542791303</v>
      </c>
      <c r="D21" s="24">
        <f>(B21+C21)</f>
        <v>0.58620361030960666</v>
      </c>
      <c r="E21" s="75">
        <f>Poor!E21</f>
        <v>1</v>
      </c>
      <c r="F21" s="22"/>
      <c r="H21" s="24">
        <f t="shared" si="1"/>
        <v>1</v>
      </c>
      <c r="I21" s="22">
        <f t="shared" si="2"/>
        <v>0.58620361030960666</v>
      </c>
      <c r="J21" s="24">
        <f>IF(I$24&lt;=1+I113,I21,B21*H21+J$25*(I21-B21*H21))</f>
        <v>0.58620361030960666</v>
      </c>
      <c r="K21" s="22">
        <f t="shared" si="4"/>
        <v>0.2047118648816936</v>
      </c>
      <c r="L21" s="22">
        <f t="shared" si="5"/>
        <v>0.2047118648816936</v>
      </c>
      <c r="M21" s="226">
        <f t="shared" si="6"/>
        <v>0.58620361030960666</v>
      </c>
      <c r="N21" s="231"/>
      <c r="P21" s="22"/>
      <c r="Q21" s="59" t="s">
        <v>84</v>
      </c>
      <c r="R21" s="224">
        <f>IF($B$68=0,0,(SUMIF($N$6:$N$20,$U21,K$6:K$20)+SUMIF($N$78:$N$100,$U21,K$78:K$100))*$I$70*Poor!$B$68/$B$68)</f>
        <v>2688.0000000000005</v>
      </c>
      <c r="S21" s="224">
        <f>IF($B$68=0,0,(SUMIF($N$6:$N$20,$U21,L$6:L$20)+SUMIF($N$78:$N$100,$U21,L$78:L$100))*$I$70*Poor!$B$68/$B$68)</f>
        <v>2520.0000000000005</v>
      </c>
      <c r="T21" s="224">
        <f>IF($B$68=0,0,(SUMIF($N$6:$N$20,$U21,M$6:M$20)+SUMIF($N$78:$N$100,$U21,M$78:M$100))*$I$70*Poor!$B$68/$B$68)</f>
        <v>2520.0000000000005</v>
      </c>
      <c r="U21" s="225">
        <v>15</v>
      </c>
      <c r="V21" s="56"/>
      <c r="W21" s="109"/>
      <c r="X21" s="117"/>
      <c r="Y21" s="184">
        <f t="shared" si="9"/>
        <v>2.3448144412384266</v>
      </c>
      <c r="Z21" s="155">
        <f>Poor!Z21</f>
        <v>0.25</v>
      </c>
      <c r="AA21" s="120">
        <f t="shared" si="16"/>
        <v>0.58620361030960666</v>
      </c>
      <c r="AB21" s="155">
        <f>Poor!AB21</f>
        <v>0.25</v>
      </c>
      <c r="AC21" s="120">
        <f t="shared" si="7"/>
        <v>0.58620361030960666</v>
      </c>
      <c r="AD21" s="155">
        <f>Poor!AD21</f>
        <v>0.25</v>
      </c>
      <c r="AE21" s="120">
        <f t="shared" si="8"/>
        <v>0.58620361030960666</v>
      </c>
      <c r="AF21" s="121">
        <f t="shared" si="10"/>
        <v>0.25</v>
      </c>
      <c r="AG21" s="120">
        <f t="shared" si="11"/>
        <v>0.58620361030960666</v>
      </c>
      <c r="AH21" s="122">
        <f t="shared" si="12"/>
        <v>1</v>
      </c>
      <c r="AI21" s="184">
        <f t="shared" si="13"/>
        <v>0.58620361030960666</v>
      </c>
      <c r="AJ21" s="119">
        <f t="shared" si="14"/>
        <v>0.58620361030960666</v>
      </c>
      <c r="AK21" s="118">
        <f t="shared" si="15"/>
        <v>0.58620361030960666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 thickBot="1">
      <c r="A22" s="94" t="s">
        <v>58</v>
      </c>
      <c r="B22" s="216">
        <f>IF([1]Summ!C1060="",0,[1]Summ!C1060)</f>
        <v>0.69206465753424673</v>
      </c>
      <c r="C22" s="102"/>
      <c r="D22" s="24">
        <f>(D101-B106)</f>
        <v>3.1136846424535918</v>
      </c>
      <c r="E22" s="75">
        <f>Poor!E22</f>
        <v>1</v>
      </c>
      <c r="H22" s="97">
        <f>(E22*F$7/F$9)</f>
        <v>1</v>
      </c>
      <c r="I22" s="29">
        <f>IF(E22&gt;=1,I101-I106,MIN(I101-I106,B22*H22))</f>
        <v>2.9321305693766568</v>
      </c>
      <c r="J22" s="238">
        <f>IF(I$24&lt;=$B$24,I22,$B$24-SUM(J6:J21))</f>
        <v>0.31639710388715581</v>
      </c>
      <c r="K22" s="22">
        <f t="shared" si="4"/>
        <v>0.69206465753424673</v>
      </c>
      <c r="L22" s="22">
        <f>IF(L106=L101,0,IF(K22="",0,(L101-L106)/(B101-B106)*K22))</f>
        <v>0.65114655758616724</v>
      </c>
      <c r="M22" s="174">
        <f t="shared" si="6"/>
        <v>0.31639710388715581</v>
      </c>
      <c r="N22" s="165" t="s">
        <v>88</v>
      </c>
      <c r="O22" s="2"/>
      <c r="P22" s="22"/>
      <c r="Q22" s="59" t="s">
        <v>85</v>
      </c>
      <c r="R22" s="224">
        <f>IF($B$68=0,0,(SUMIF($N$6:$N$20,$U22,K$6:K$20)+SUMIF($N$78:$N$100,$U22,K$78:K$100))*$I$70*Poor!$B$68/$B$68)</f>
        <v>504.00000000000006</v>
      </c>
      <c r="S22" s="224">
        <f>IF($B$68=0,0,(SUMIF($N$6:$N$20,$U22,L$6:L$20)+SUMIF($N$78:$N$100,$U22,L$78:L$100))*$I$70*Poor!$B$68/$B$68)</f>
        <v>450</v>
      </c>
      <c r="T22" s="224">
        <f>IF($B$68=0,0,(SUMIF($N$6:$N$20,$U22,M$6:M$20)+SUMIF($N$78:$N$100,$U22,M$78:M$100))*$I$70*Poor!$B$68/$B$68)</f>
        <v>450</v>
      </c>
      <c r="U22" s="225">
        <v>16</v>
      </c>
      <c r="V22" s="56"/>
      <c r="W22" s="109"/>
      <c r="X22" s="117"/>
      <c r="Y22" s="184">
        <f>M22*4</f>
        <v>1.2655884155486232</v>
      </c>
      <c r="Z22" s="121">
        <f>IF($Y22=0,0,AA22/($Y$22))</f>
        <v>0</v>
      </c>
      <c r="AA22" s="188">
        <f>IF(AA66*4/$I$70+SUM(AA6:AA21)&lt;1,AA66*4/$I$70,1-SUM(AA6:AA21))</f>
        <v>0</v>
      </c>
      <c r="AB22" s="121">
        <f>IF($Y22=0,0,AC22/($Y$22))</f>
        <v>0</v>
      </c>
      <c r="AC22" s="188">
        <f>IF(AC66*4/$I$70+SUM(AC6:AC21)&lt;1,AC66*4/$I$70,1-SUM(AC6:AC21))</f>
        <v>0</v>
      </c>
      <c r="AD22" s="121">
        <f>IF($Y22=0,0,AE22/($Y$22))</f>
        <v>0.21791431151545676</v>
      </c>
      <c r="AE22" s="188">
        <f>IF(AE66*4/$I$70+SUM(AE6:AE21)&lt;1,AE66*4/$I$70,1-SUM(AE6:AE21))</f>
        <v>0.27578982823621601</v>
      </c>
      <c r="AF22" s="121">
        <f>IF($Y22=0,0,AG22/($Y$22))</f>
        <v>0.16451712911850391</v>
      </c>
      <c r="AG22" s="188">
        <f>IF(AG66*4/$I$70+SUM(AG6:AG21)&lt;1,AG66*4/$I$70,1-SUM(AG6:AG21))</f>
        <v>0.20821097277169565</v>
      </c>
      <c r="AH22" s="122">
        <f t="shared" si="12"/>
        <v>0.38243144063396067</v>
      </c>
      <c r="AI22" s="184">
        <f t="shared" si="13"/>
        <v>0.12100020025197791</v>
      </c>
      <c r="AJ22" s="119">
        <f t="shared" si="14"/>
        <v>0</v>
      </c>
      <c r="AK22" s="118">
        <f t="shared" si="15"/>
        <v>0.24200040050395583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95" t="s">
        <v>59</v>
      </c>
      <c r="B23" s="216" t="str">
        <f>IF(1-$B$24&gt;0,1-$B$24,"")</f>
        <v/>
      </c>
      <c r="C23" s="77"/>
      <c r="D23" s="24"/>
      <c r="E23" s="22"/>
      <c r="F23" s="22"/>
      <c r="H23" s="24"/>
      <c r="I23" s="22"/>
      <c r="J23" s="239">
        <f>($B$24-SUM(J6:J22))</f>
        <v>0</v>
      </c>
      <c r="K23" s="22" t="str">
        <f t="shared" si="4"/>
        <v/>
      </c>
      <c r="L23" s="22">
        <f>(1-SUM(L6:L22))</f>
        <v>-0.15447880368709832</v>
      </c>
      <c r="M23" s="177">
        <f t="shared" si="6"/>
        <v>0</v>
      </c>
      <c r="N23" s="166">
        <f>M23*I70</f>
        <v>0</v>
      </c>
      <c r="P23" s="22"/>
      <c r="Q23" s="170" t="s">
        <v>102</v>
      </c>
      <c r="R23" s="179">
        <f>SUM(R7:R22)</f>
        <v>39915.093103963438</v>
      </c>
      <c r="S23" s="179">
        <f>SUM(S7:S22)</f>
        <v>38844.441020829676</v>
      </c>
      <c r="T23" s="179">
        <f>SUM(T7:T22)</f>
        <v>39151.057820721646</v>
      </c>
      <c r="U23" s="241" t="s">
        <v>143</v>
      </c>
      <c r="V23" s="56"/>
      <c r="W23" s="128" t="s">
        <v>86</v>
      </c>
      <c r="X23" s="129"/>
      <c r="Y23" s="120">
        <f>M23*4</f>
        <v>0</v>
      </c>
      <c r="Z23" s="130"/>
      <c r="AA23" s="131">
        <f>1-AA24+IF($Y24&lt;0,$Y24/4,0)</f>
        <v>0</v>
      </c>
      <c r="AB23" s="130"/>
      <c r="AC23" s="132">
        <f>1-AC24+IF($Y24&lt;0,$Y24/4,0)</f>
        <v>0</v>
      </c>
      <c r="AD23" s="133"/>
      <c r="AE23" s="132">
        <f>1-AE24+IF($Y24&lt;0,$Y24/4,0)</f>
        <v>0</v>
      </c>
      <c r="AF23" s="133"/>
      <c r="AG23" s="132">
        <f>1-AG24+IF($Y24&lt;0,$Y24/4,0)</f>
        <v>0</v>
      </c>
      <c r="AH23" s="122"/>
      <c r="AI23" s="183">
        <f>SUM(AA23,AC23,AE23,AG23)/4</f>
        <v>0</v>
      </c>
      <c r="AJ23" s="134">
        <f t="shared" si="14"/>
        <v>0</v>
      </c>
      <c r="AK23" s="135">
        <f t="shared" si="15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>
      <c r="A24" s="22" t="s">
        <v>25</v>
      </c>
      <c r="B24" s="77">
        <f>SUM(B6:B22)</f>
        <v>1.1953969036351779</v>
      </c>
      <c r="C24" s="77">
        <f>SUM(C6:C23)</f>
        <v>0.3816675536470911</v>
      </c>
      <c r="D24" s="24">
        <f>SUM(D6:D22)</f>
        <v>3.9986844422016139</v>
      </c>
      <c r="E24" s="2"/>
      <c r="F24" s="2"/>
      <c r="H24" s="17"/>
      <c r="I24" s="22">
        <f>SUM(I6:I22)</f>
        <v>3.8111303691246787</v>
      </c>
      <c r="J24" s="17"/>
      <c r="L24" s="22">
        <f>SUM(L6:L22)</f>
        <v>1.1544788036870983</v>
      </c>
      <c r="M24" s="23"/>
      <c r="N24" s="56"/>
      <c r="O24" s="2"/>
      <c r="P24" s="22"/>
      <c r="Q24" s="59" t="s">
        <v>140</v>
      </c>
      <c r="R24" s="41">
        <f>IF($B$68=0,0,($B$106*$H$106)+1-($D$21*$H$21)-($D$20*$H$20))*$I$70*Poor!$B$68/$B$68</f>
        <v>18678.904463959963</v>
      </c>
      <c r="S24" s="41">
        <f>IF($B$68=0,0,($B$106*($H$106)+1-($D$21*$H$21)-($D$20*$H$20))*$I$70*Poor!$B$68/$B$68)</f>
        <v>18678.904463959963</v>
      </c>
      <c r="T24" s="41">
        <f>IF($B$68=0,0,($B$106*($H$106)+1-($D$21*$H$21)-($D$20*$H$20))*$I$70*[2]Poor!$B$68/$B$68)</f>
        <v>18678.904463959963</v>
      </c>
      <c r="U24" s="242">
        <f>T24/Poor!$B$68/12</f>
        <v>259.42922866611059</v>
      </c>
      <c r="V24" s="56"/>
      <c r="W24" s="109"/>
      <c r="X24" s="117"/>
      <c r="Y24" s="114">
        <f>SUM(Y6:Y23)</f>
        <v>4.7815876145407117</v>
      </c>
      <c r="Z24" s="136"/>
      <c r="AA24" s="137">
        <f>SUM(AA6:AA22)</f>
        <v>1</v>
      </c>
      <c r="AB24" s="136"/>
      <c r="AC24" s="138">
        <f>SUM(AC6:AC22)</f>
        <v>1</v>
      </c>
      <c r="AD24" s="136"/>
      <c r="AE24" s="138">
        <f>SUM(AE6:AE22)</f>
        <v>1</v>
      </c>
      <c r="AF24" s="136"/>
      <c r="AG24" s="138">
        <f>SUM(AG6:AG22)</f>
        <v>1</v>
      </c>
      <c r="AH24" s="126"/>
      <c r="AI24" s="109"/>
      <c r="AJ24" s="139">
        <f>SUM(AJ6:AJ23)</f>
        <v>1</v>
      </c>
      <c r="AK24" s="140">
        <f>SUM(AK6:AK23)</f>
        <v>1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</row>
    <row r="25" spans="1:89" ht="14" customHeight="1">
      <c r="A25" s="11"/>
      <c r="B25" s="11"/>
      <c r="C25" s="11"/>
      <c r="D25" s="10"/>
      <c r="E25" s="11"/>
      <c r="F25" s="11"/>
      <c r="G25" s="11"/>
      <c r="H25" s="10"/>
      <c r="I25" s="234" t="s">
        <v>26</v>
      </c>
      <c r="J25" s="235">
        <f>(1+K107*H107-L24-L107)/(I24-L24-L107)</f>
        <v>-0.14886873897129757</v>
      </c>
      <c r="K25" s="14"/>
      <c r="L25" s="11"/>
      <c r="M25" s="30"/>
      <c r="O25" s="2"/>
      <c r="P25" s="2"/>
      <c r="Q25" s="141" t="s">
        <v>141</v>
      </c>
      <c r="R25" s="41">
        <f>IF($B$68=0,0,($B$57+$B$58+((1-$D$21)*$B$70))*$H$71*Poor!$B$68/$B$68)</f>
        <v>31956.58733381049</v>
      </c>
      <c r="S25" s="41">
        <f>IF($B$68=0,0,(($B$57*$H$57)+($B$58*$H$58)+((1-($D$21*$H$21))*$I$70))*Poor!$B$68/$B$68)</f>
        <v>31648.144463959969</v>
      </c>
      <c r="T25" s="41">
        <f>IF($B$68=0,0,(($B$57*$H$57)+($B$58*$H$58)+((1-($D$21*$H$21))*$I$70))*Poor!$B$68/$B$68)</f>
        <v>31648.144463959969</v>
      </c>
      <c r="U25" s="242">
        <f>T25/Poor!$B$68/12</f>
        <v>439.55756199944403</v>
      </c>
      <c r="V25" s="56"/>
      <c r="W25" s="109"/>
      <c r="X25" s="117"/>
      <c r="Y25" s="109"/>
      <c r="Z25" s="142"/>
      <c r="AA25" s="143"/>
      <c r="AB25" s="142"/>
      <c r="AC25" s="143"/>
      <c r="AD25" s="142"/>
      <c r="AE25" s="143"/>
      <c r="AF25" s="142"/>
      <c r="AG25" s="143"/>
      <c r="AH25" s="109"/>
      <c r="AI25" s="109"/>
      <c r="AJ25" s="142"/>
      <c r="AK25" s="143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</row>
    <row r="26" spans="1:89" ht="15.75" customHeight="1">
      <c r="A26" s="73" t="s">
        <v>55</v>
      </c>
      <c r="B26" s="2"/>
      <c r="C26" s="2"/>
      <c r="D26" s="31"/>
      <c r="E26" s="32"/>
      <c r="F26" s="32"/>
      <c r="G26" s="32"/>
      <c r="H26" s="31"/>
      <c r="I26" s="2"/>
      <c r="J26" s="33"/>
      <c r="K26" s="34" t="s">
        <v>28</v>
      </c>
      <c r="L26" s="35"/>
      <c r="M26" s="36"/>
      <c r="O26" s="2"/>
      <c r="P26" s="2"/>
      <c r="Q26" s="59" t="s">
        <v>142</v>
      </c>
      <c r="R26" s="41">
        <f>IF($B$68=0,0,($B$57+$B$58+$B$59+((1-$D$21)*$B$70))*$H$71*Poor!$B$68/$B$68)</f>
        <v>55602.772300932178</v>
      </c>
      <c r="S26" s="41">
        <f>IF($B$68=0,0,(($B$57*$H$57)+($B$58*$H$58)+($B$59*$H$59)+((1-($D$21*$H$21))*$I$70))*Poor!$B$68/$B$68)</f>
        <v>54745.024463959962</v>
      </c>
      <c r="T26" s="41">
        <f>IF($B$68=0,0,(($B$57*$H$57)+($B$58*$H$58)+($B$59*$H$59)+((1-($D$21*$H$21))*$I$70))*Poor!$B$68/$B$68)</f>
        <v>54745.024463959962</v>
      </c>
      <c r="U26" s="242">
        <f>T26/Poor!$B$68/12</f>
        <v>760.34756199944388</v>
      </c>
      <c r="V26" s="56"/>
      <c r="W26" s="109"/>
      <c r="X26" s="117"/>
      <c r="Y26" s="109"/>
      <c r="Z26" s="144"/>
      <c r="AA26" s="145"/>
      <c r="AB26" s="144"/>
      <c r="AC26" s="145"/>
      <c r="AD26" s="144"/>
      <c r="AE26" s="145"/>
      <c r="AF26" s="144"/>
      <c r="AG26" s="145"/>
      <c r="AH26" s="109"/>
      <c r="AI26" s="109"/>
      <c r="AJ26" s="144"/>
      <c r="AK26" s="145"/>
      <c r="AP26" s="25"/>
      <c r="AQ26" s="25"/>
      <c r="AR26" s="25"/>
      <c r="AS26" s="25"/>
      <c r="AT26" s="25"/>
      <c r="AU26" s="25"/>
      <c r="AW26" s="25"/>
      <c r="AX26" s="25"/>
      <c r="AY26" s="25"/>
      <c r="AZ26" s="25"/>
      <c r="BA26" s="25"/>
      <c r="BB26" s="25"/>
      <c r="BF26" s="25"/>
      <c r="BG26" s="25"/>
      <c r="BH26" s="25"/>
      <c r="BI26" s="25"/>
      <c r="BJ26" s="25"/>
      <c r="BK26" s="25"/>
      <c r="BM26" s="25"/>
      <c r="BN26" s="25"/>
      <c r="BO26" s="25"/>
      <c r="BP26" s="25"/>
      <c r="BQ26" s="25"/>
      <c r="BR26" s="25"/>
      <c r="BU26" s="25"/>
      <c r="BV26" s="25"/>
      <c r="BW26" s="25"/>
      <c r="BX26" s="25"/>
      <c r="BY26" s="25"/>
      <c r="BZ26" s="25"/>
      <c r="CB26" s="25"/>
      <c r="CC26" s="25"/>
      <c r="CD26" s="25"/>
      <c r="CE26" s="25"/>
      <c r="CF26" s="25"/>
      <c r="CG26" s="25"/>
    </row>
    <row r="27" spans="1:89" ht="14" customHeight="1">
      <c r="A27" s="2"/>
      <c r="B27" s="19" t="s">
        <v>7</v>
      </c>
      <c r="C27" s="19" t="s">
        <v>8</v>
      </c>
      <c r="D27" s="16" t="s">
        <v>9</v>
      </c>
      <c r="E27" s="19" t="s">
        <v>10</v>
      </c>
      <c r="F27" s="2" t="s">
        <v>29</v>
      </c>
      <c r="G27" s="2" t="s">
        <v>30</v>
      </c>
      <c r="H27" s="16" t="s">
        <v>12</v>
      </c>
      <c r="I27" s="19" t="s">
        <v>13</v>
      </c>
      <c r="J27" s="16" t="s">
        <v>14</v>
      </c>
      <c r="K27" s="37" t="s">
        <v>7</v>
      </c>
      <c r="L27" s="19" t="s">
        <v>15</v>
      </c>
      <c r="M27" s="16" t="s">
        <v>14</v>
      </c>
      <c r="N27" s="2"/>
      <c r="O27" s="2"/>
      <c r="Q27" s="125" t="s">
        <v>134</v>
      </c>
      <c r="R27" s="41">
        <f>IF($B$68=0,0,($B$57+$B$58+$B$59+$B$60+(1-$D$21-$D$20)*$B$70)*$H$71*Poor!$B$68/$B$68)</f>
        <v>56684.623900735132</v>
      </c>
      <c r="S27" s="41">
        <f>IF($B$68=0,0,(($B$57*$H$57)+($B$58*$H$58)+($B$59*$H$59)+($B$60*$H$60)+((1-($D$20*$H$20)-($D$21*$H$21))*$I$70))*Poor!$B$68/$B$68)</f>
        <v>55801.744463959963</v>
      </c>
      <c r="T27" s="41">
        <f>IF($B$68=0,0,(($B$57*$H$57)+($B$58*$H$58)+($B$59*$H$59)+($B$60*$H$60)+((1-($D$20*$H$20)-($D$21*$H$21))*$I$70))*Poor!$B$68/$B$68)</f>
        <v>55801.744463959963</v>
      </c>
      <c r="U27" s="243">
        <f>T27/Poor!$B$68/12</f>
        <v>775.02422866611062</v>
      </c>
      <c r="V27" s="56"/>
      <c r="W27" s="109"/>
      <c r="X27" s="117"/>
      <c r="Y27" s="109"/>
      <c r="Z27" s="144"/>
      <c r="AA27" s="145"/>
      <c r="AB27" s="144"/>
      <c r="AC27" s="145"/>
      <c r="AD27" s="144"/>
      <c r="AE27" s="145"/>
      <c r="AF27" s="144"/>
      <c r="AG27" s="145"/>
      <c r="AH27" s="109"/>
      <c r="AI27" s="109"/>
      <c r="AJ27" s="144"/>
      <c r="AK27" s="145"/>
      <c r="AP27" s="25"/>
      <c r="AQ27" s="25"/>
      <c r="AR27" s="25"/>
      <c r="AS27" s="25"/>
      <c r="AT27" s="25"/>
      <c r="AU27" s="25"/>
      <c r="AW27" s="25"/>
      <c r="AX27" s="25"/>
      <c r="AY27" s="25"/>
      <c r="AZ27" s="25"/>
      <c r="BA27" s="25"/>
      <c r="BB27" s="25"/>
      <c r="BF27" s="25"/>
      <c r="BG27" s="25"/>
      <c r="BH27" s="25"/>
      <c r="BI27" s="25"/>
      <c r="BJ27" s="25"/>
      <c r="BK27" s="25"/>
      <c r="BM27" s="25"/>
      <c r="BN27" s="25"/>
      <c r="BO27" s="25"/>
      <c r="BP27" s="25"/>
      <c r="BQ27" s="25"/>
      <c r="BR27" s="25"/>
      <c r="BU27" s="25"/>
      <c r="BV27" s="25"/>
      <c r="BW27" s="25"/>
      <c r="BX27" s="25"/>
      <c r="BY27" s="25"/>
      <c r="BZ27" s="25"/>
      <c r="CB27" s="25"/>
      <c r="CC27" s="25"/>
      <c r="CD27" s="25"/>
      <c r="CE27" s="25"/>
      <c r="CF27" s="25"/>
      <c r="CG27" s="25"/>
    </row>
    <row r="28" spans="1:89" ht="14" customHeight="1">
      <c r="A28" s="2" t="s">
        <v>31</v>
      </c>
      <c r="B28" s="19" t="s">
        <v>16</v>
      </c>
      <c r="C28" s="19" t="s">
        <v>17</v>
      </c>
      <c r="D28" s="16" t="s">
        <v>16</v>
      </c>
      <c r="E28" s="19" t="s">
        <v>18</v>
      </c>
      <c r="F28" s="2" t="s">
        <v>32</v>
      </c>
      <c r="G28" s="2" t="s">
        <v>32</v>
      </c>
      <c r="H28" s="16" t="s">
        <v>18</v>
      </c>
      <c r="I28" s="19" t="s">
        <v>16</v>
      </c>
      <c r="J28" s="16" t="s">
        <v>16</v>
      </c>
      <c r="K28" s="37" t="s">
        <v>16</v>
      </c>
      <c r="L28" s="19" t="s">
        <v>20</v>
      </c>
      <c r="M28" s="16" t="s">
        <v>16</v>
      </c>
      <c r="N28" s="2"/>
      <c r="O28" s="2"/>
      <c r="P28" s="2"/>
      <c r="U28" s="56"/>
      <c r="V28" s="56"/>
      <c r="W28" s="109"/>
      <c r="X28" s="117"/>
      <c r="Y28" s="109"/>
      <c r="Z28" s="144"/>
      <c r="AA28" s="145"/>
      <c r="AB28" s="144"/>
      <c r="AC28" s="145"/>
      <c r="AD28" s="144"/>
      <c r="AE28" s="145"/>
      <c r="AF28" s="144"/>
      <c r="AG28" s="145"/>
      <c r="AH28" s="109"/>
      <c r="AI28" s="109"/>
      <c r="AJ28" s="144"/>
      <c r="AK28" s="145"/>
      <c r="AP28" s="25"/>
      <c r="AQ28" s="25"/>
      <c r="AR28" s="25"/>
      <c r="AS28" s="25"/>
      <c r="AT28" s="25"/>
      <c r="AU28" s="25"/>
      <c r="AW28" s="25"/>
      <c r="AX28" s="25"/>
      <c r="AY28" s="25"/>
      <c r="AZ28" s="25"/>
      <c r="BA28" s="25"/>
      <c r="BB28" s="25"/>
      <c r="BF28" s="25"/>
      <c r="BG28" s="25"/>
      <c r="BH28" s="25"/>
      <c r="BI28" s="25"/>
      <c r="BJ28" s="25"/>
      <c r="BK28" s="25"/>
      <c r="BM28" s="25"/>
      <c r="BN28" s="25"/>
      <c r="BO28" s="25"/>
      <c r="BP28" s="25"/>
      <c r="BQ28" s="25"/>
      <c r="BR28" s="25"/>
      <c r="BU28" s="25"/>
      <c r="BV28" s="25"/>
      <c r="BW28" s="25"/>
      <c r="BX28" s="25"/>
      <c r="BY28" s="25"/>
      <c r="BZ28" s="25"/>
      <c r="CB28" s="25"/>
      <c r="CC28" s="25"/>
      <c r="CD28" s="25"/>
      <c r="CE28" s="25"/>
      <c r="CF28" s="25"/>
      <c r="CG28" s="25"/>
    </row>
    <row r="29" spans="1:89" ht="14" customHeight="1">
      <c r="A29" s="86" t="str">
        <f>IF(Poor!A29=0,"",Poor!A29)</f>
        <v>Pig sales: no sold</v>
      </c>
      <c r="B29" s="217">
        <f>IF([1]Summ!C1064="",0,[1]Summ!C1064)</f>
        <v>500</v>
      </c>
      <c r="C29" s="217">
        <f>IF([1]Summ!D1064="",0,[1]Summ!D1064)</f>
        <v>0</v>
      </c>
      <c r="D29" s="38">
        <f t="shared" ref="D29:D51" si="17">B29+C29</f>
        <v>500</v>
      </c>
      <c r="E29" s="75">
        <f>Poor!E29</f>
        <v>1</v>
      </c>
      <c r="F29" s="75">
        <f>Poor!F29</f>
        <v>1.03</v>
      </c>
      <c r="G29" s="75">
        <f>Poor!G29</f>
        <v>1.1200000000000001</v>
      </c>
      <c r="H29" s="24">
        <f t="shared" ref="H29:H51" si="18">(E29*F29)</f>
        <v>1.03</v>
      </c>
      <c r="I29" s="39">
        <f t="shared" ref="I29:I51" si="19">D29*H29</f>
        <v>515</v>
      </c>
      <c r="J29" s="38">
        <f t="shared" ref="J29:J51" si="20">J78*I$70</f>
        <v>515</v>
      </c>
      <c r="K29" s="40">
        <f t="shared" ref="K29:K51" si="21">(B29/B$52)</f>
        <v>1.4829794747117245E-2</v>
      </c>
      <c r="L29" s="22">
        <f t="shared" ref="L29:L51" si="22">(K29*H29)</f>
        <v>1.5274688589530763E-2</v>
      </c>
      <c r="M29" s="24">
        <f t="shared" ref="M29:M51" si="23">J29/B$52</f>
        <v>1.5274688589530763E-2</v>
      </c>
      <c r="N29" s="2"/>
      <c r="O29" s="2"/>
      <c r="P29" s="2"/>
      <c r="Q29" s="178"/>
      <c r="R29" s="180"/>
      <c r="S29" s="180"/>
      <c r="T29" s="180"/>
      <c r="U29" s="56"/>
      <c r="V29" s="56"/>
      <c r="W29" s="114"/>
      <c r="X29" s="117"/>
      <c r="Y29" s="109"/>
      <c r="Z29" s="121">
        <f>IF($J29=0,0,AA29/($J29))</f>
        <v>0</v>
      </c>
      <c r="AA29" s="146">
        <f>IF(SUM(AA$6:AA$21)+(SUM(AA$31:AA$51,-AA$57)/AA$70)&lt;1,IF(SUM(AA$6:AA$21)+(SUM(AA$31:AA$51,$J$29:$J$30,-AA$57)/AA$70)&lt;1,$J29,(AA$70-(SUM(AA$6:AA$21)*AA$70)-SUM(AA$31:AA$51,-AA$57))*($J29/SUM($J$29:$J$30))),0)</f>
        <v>0</v>
      </c>
      <c r="AB29" s="121">
        <f>IF($J29=0,0,AC29/($J29))</f>
        <v>0</v>
      </c>
      <c r="AC29" s="146">
        <f>IF(SUM(AC$6:AC$21)+(SUM(AC$31:AC$51,-AC$57)/AC$70)&lt;1,IF(SUM(AC$6:AC$21)+((SUM(AC$31:AC$51,$J$29:$J$30,-AC$57)-SUM($AA$29:$AA$30))/AC$70)&lt;1,$J29-$AA29,(AC$70-(SUM(AC$6:AC$21)*AC$70)-SUM(AC$31:AC$51,-AC$57))*($J29/SUM($J$29:$J$30))),0)</f>
        <v>0</v>
      </c>
      <c r="AD29" s="121">
        <f>IF($J29=0,0,AE29/($J29))</f>
        <v>0</v>
      </c>
      <c r="AE29" s="146">
        <f>IF(SUM(AE$6:AE$21)+(SUM(AE$31:AE$51,-AE$57)/AE$70)&lt;1,IF(SUM(AE$6:AE$21)+((SUM(AE$31:AE$51,$J$29:$J$30,-AE$57)-SUM($AA$29:$AA$30)-SUM($AC$29:$AC$30))/AE$70)&lt;1,$J29-$AA29-$AC29,(AE$70-(SUM(AE$6:AE$21)*AE$70)-SUM(AE$31:AE$51,-AE$57))*($J29/SUM($J$29:$J$30))),0)</f>
        <v>0</v>
      </c>
      <c r="AF29" s="121">
        <f t="shared" ref="AF29:AF51" si="24">1-SUM(Z29,AB29,AD29)</f>
        <v>1</v>
      </c>
      <c r="AG29" s="146">
        <f>$J29*AF29</f>
        <v>515</v>
      </c>
      <c r="AH29" s="122">
        <f>SUM(Z29,AB29,AD29,AF29)</f>
        <v>1</v>
      </c>
      <c r="AI29" s="111">
        <f>SUM(AA29,AC29,AE29,AG29)</f>
        <v>515</v>
      </c>
      <c r="AJ29" s="147">
        <f>(AA29+AC29)</f>
        <v>0</v>
      </c>
      <c r="AK29" s="146">
        <f>(AE29+AG29)</f>
        <v>515</v>
      </c>
      <c r="AP29" s="25"/>
      <c r="AQ29" s="25"/>
      <c r="AR29" s="25"/>
      <c r="AS29" s="25"/>
      <c r="AT29" s="25"/>
      <c r="AU29" s="25"/>
      <c r="AW29" s="25"/>
      <c r="AX29" s="25"/>
      <c r="AY29" s="25"/>
      <c r="AZ29" s="25"/>
      <c r="BA29" s="25"/>
      <c r="BB29" s="25"/>
      <c r="BF29" s="25"/>
      <c r="BG29" s="25"/>
      <c r="BH29" s="25"/>
      <c r="BI29" s="25"/>
      <c r="BJ29" s="25"/>
      <c r="BK29" s="25"/>
      <c r="BM29" s="25"/>
      <c r="BN29" s="25"/>
      <c r="BO29" s="25"/>
      <c r="BP29" s="25"/>
      <c r="BQ29" s="25"/>
      <c r="BR29" s="25"/>
      <c r="BU29" s="25"/>
      <c r="BV29" s="25"/>
      <c r="BW29" s="25"/>
      <c r="BX29" s="25"/>
      <c r="BY29" s="25"/>
      <c r="BZ29" s="25"/>
      <c r="CB29" s="25"/>
      <c r="CC29" s="25"/>
      <c r="CD29" s="25"/>
      <c r="CE29" s="25"/>
      <c r="CF29" s="25"/>
      <c r="CG29" s="25"/>
    </row>
    <row r="30" spans="1:89" ht="14" customHeight="1">
      <c r="A30" s="86" t="str">
        <f>IF(Poor!A30=0,"",Poor!A30)</f>
        <v>Cattle sales - local: no. sold</v>
      </c>
      <c r="B30" s="217">
        <f>IF([1]Summ!C1065="",0,[1]Summ!C1065)</f>
        <v>0</v>
      </c>
      <c r="C30" s="217">
        <f>IF([1]Summ!D1065="",0,[1]Summ!D1065)</f>
        <v>0</v>
      </c>
      <c r="D30" s="38">
        <f t="shared" si="17"/>
        <v>0</v>
      </c>
      <c r="E30" s="75">
        <f>Poor!E30</f>
        <v>1</v>
      </c>
      <c r="F30" s="75">
        <f>Poor!F30</f>
        <v>1.1100000000000001</v>
      </c>
      <c r="G30" s="22">
        <f t="shared" ref="G30:G51" si="25">(G$29)</f>
        <v>1.1200000000000001</v>
      </c>
      <c r="H30" s="24">
        <f t="shared" si="18"/>
        <v>1.1100000000000001</v>
      </c>
      <c r="I30" s="39">
        <f t="shared" si="19"/>
        <v>0</v>
      </c>
      <c r="J30" s="38">
        <f t="shared" si="20"/>
        <v>0</v>
      </c>
      <c r="K30" s="40">
        <f t="shared" si="21"/>
        <v>0</v>
      </c>
      <c r="L30" s="22">
        <f t="shared" si="22"/>
        <v>0</v>
      </c>
      <c r="M30" s="24">
        <f t="shared" si="23"/>
        <v>0</v>
      </c>
      <c r="N30" s="2"/>
      <c r="O30" s="2"/>
      <c r="P30" s="2"/>
      <c r="Q30" s="59"/>
      <c r="R30" s="180"/>
      <c r="S30" s="180"/>
      <c r="T30" s="180"/>
      <c r="U30" s="56"/>
      <c r="V30" s="56"/>
      <c r="W30" s="114"/>
      <c r="X30" s="117"/>
      <c r="Y30" s="109"/>
      <c r="Z30" s="121">
        <f>IF($J30=0,0,AA30/($J30))</f>
        <v>0</v>
      </c>
      <c r="AA30" s="146">
        <f>IF(SUM(AA$6:AA$21)+(SUM(AA$31:AA$51,-AA$57)/AA$70)&lt;1,IF(SUM(AA$6:AA$21)+(SUM(AA$31:AA$51,$J$29:$J$30,-AA$57)/AA$70)&lt;1,$J30,(AA$70-(SUM(AA$6:AA$21)*AA$70)-SUM(AA$31:AA$51,-AA$57))*($J30/SUM($J$29:$J$30))),0)</f>
        <v>0</v>
      </c>
      <c r="AB30" s="121">
        <f>IF($J30=0,0,AC30/($J30))</f>
        <v>0</v>
      </c>
      <c r="AC30" s="146">
        <f>IF(SUM(AC$6:AC$21)+(SUM(AC$31:AC$51,-AC$57)/AC$70)&lt;1,IF(SUM(AC$6:AC$21)+((SUM(AC$31:AC$51,$J$29:$J$30,-AC$57)-SUM($AA$29:$AA$30))/AC$70)&lt;1,$J30-$AA30,(AC$70-(SUM(AC$6:AC$21)*AC$70)-SUM(AC$31:AC$51,-AC$57))*($J30/SUM($J$29:$J$30))),0)</f>
        <v>0</v>
      </c>
      <c r="AD30" s="121">
        <f>IF($J30=0,0,AE30/($J30))</f>
        <v>0</v>
      </c>
      <c r="AE30" s="146">
        <f>IF(SUM(AE$6:AE$21)+(SUM(AE$31:AE$51,-AE$57)/AE$70)&lt;1,IF(SUM(AE$6:AE$21)+((SUM(AE$31:AE$51,$J$29:$J$30,-AE$57)-SUM($AA$29:$AA$30)-SUM($AC$29:$AC$30))/AE$70)&lt;1,$J30-$AA30-$AC30,(AE$70-(SUM(AE$6:AE$21)*AE$70)-SUM(AE$31:AE$51,-AE$57))*($J30/SUM($J$29:$J$30))),0)</f>
        <v>0</v>
      </c>
      <c r="AF30" s="121">
        <f t="shared" si="24"/>
        <v>1</v>
      </c>
      <c r="AG30" s="146">
        <f t="shared" ref="AG30:AG51" si="26">$J30*AF30</f>
        <v>0</v>
      </c>
      <c r="AH30" s="122">
        <f t="shared" ref="AH30:AI45" si="27">SUM(Z30,AB30,AD30,AF30)</f>
        <v>1</v>
      </c>
      <c r="AI30" s="111">
        <f t="shared" si="27"/>
        <v>0</v>
      </c>
      <c r="AJ30" s="147">
        <f t="shared" ref="AJ30:AJ51" si="28">(AA30+AC30)</f>
        <v>0</v>
      </c>
      <c r="AK30" s="146">
        <f t="shared" ref="AK30:AK51" si="29">(AE30+AG30)</f>
        <v>0</v>
      </c>
      <c r="AP30" s="25"/>
      <c r="AQ30" s="25"/>
      <c r="AR30" s="25"/>
      <c r="AS30" s="25"/>
      <c r="AT30" s="25"/>
      <c r="AU30" s="25"/>
      <c r="AW30" s="25"/>
      <c r="AX30" s="25"/>
      <c r="AY30" s="25"/>
      <c r="AZ30" s="25"/>
      <c r="BA30" s="25"/>
      <c r="BB30" s="25"/>
      <c r="BF30" s="25"/>
      <c r="BG30" s="25"/>
      <c r="BH30" s="25"/>
      <c r="BI30" s="25"/>
      <c r="BJ30" s="25"/>
      <c r="BK30" s="25"/>
      <c r="BM30" s="25"/>
      <c r="BN30" s="25"/>
      <c r="BO30" s="25"/>
      <c r="BP30" s="25"/>
      <c r="BQ30" s="25"/>
      <c r="BR30" s="25"/>
      <c r="BU30" s="25"/>
      <c r="BV30" s="25"/>
      <c r="BW30" s="25"/>
      <c r="BX30" s="25"/>
      <c r="BY30" s="25"/>
      <c r="BZ30" s="25"/>
      <c r="CB30" s="25"/>
      <c r="CC30" s="25"/>
      <c r="CD30" s="25"/>
      <c r="CE30" s="25"/>
      <c r="CF30" s="25"/>
      <c r="CG30" s="25"/>
    </row>
    <row r="31" spans="1:89" ht="14" customHeight="1">
      <c r="A31" s="86" t="str">
        <f>IF(Poor!A31=0,"",Poor!A31)</f>
        <v>Goat sales - local: no. sold</v>
      </c>
      <c r="B31" s="217">
        <f>IF([1]Summ!C1066="",0,[1]Summ!C1066)</f>
        <v>0</v>
      </c>
      <c r="C31" s="217">
        <f>IF([1]Summ!D1066="",0,[1]Summ!D1066)</f>
        <v>0</v>
      </c>
      <c r="D31" s="38">
        <f t="shared" si="17"/>
        <v>0</v>
      </c>
      <c r="E31" s="75">
        <f>Poor!E31</f>
        <v>1</v>
      </c>
      <c r="F31" s="75">
        <f>Poor!F31</f>
        <v>1.0900000000000001</v>
      </c>
      <c r="G31" s="22">
        <f t="shared" si="25"/>
        <v>1.1200000000000001</v>
      </c>
      <c r="H31" s="24">
        <f t="shared" si="18"/>
        <v>1.0900000000000001</v>
      </c>
      <c r="I31" s="39">
        <f t="shared" si="19"/>
        <v>0</v>
      </c>
      <c r="J31" s="38">
        <f t="shared" si="20"/>
        <v>0</v>
      </c>
      <c r="K31" s="40">
        <f t="shared" si="21"/>
        <v>0</v>
      </c>
      <c r="L31" s="22">
        <f t="shared" si="22"/>
        <v>0</v>
      </c>
      <c r="M31" s="24">
        <f t="shared" si="23"/>
        <v>0</v>
      </c>
      <c r="N31" s="2"/>
      <c r="O31" s="2"/>
      <c r="P31" s="2"/>
      <c r="Q31" s="2"/>
      <c r="R31" s="180"/>
      <c r="S31" s="180"/>
      <c r="T31" s="180"/>
      <c r="U31" s="56"/>
      <c r="V31" s="56"/>
      <c r="W31" s="114"/>
      <c r="X31" s="117"/>
      <c r="Y31" s="109"/>
      <c r="Z31" s="121">
        <f>Z8</f>
        <v>0.47768591276388056</v>
      </c>
      <c r="AA31" s="146">
        <f t="shared" ref="AA31:AA51" si="30">$J31*Z31</f>
        <v>0</v>
      </c>
      <c r="AB31" s="121">
        <f>AB8</f>
        <v>0.47768591276388056</v>
      </c>
      <c r="AC31" s="146">
        <f t="shared" ref="AC31:AC51" si="31">$J31*AB31</f>
        <v>0</v>
      </c>
      <c r="AD31" s="121">
        <f>AD8</f>
        <v>4.4628174472238824E-2</v>
      </c>
      <c r="AE31" s="146">
        <f t="shared" ref="AE31:AE51" si="32">$J31*AD31</f>
        <v>0</v>
      </c>
      <c r="AF31" s="121">
        <f t="shared" si="24"/>
        <v>0</v>
      </c>
      <c r="AG31" s="146">
        <f t="shared" si="26"/>
        <v>0</v>
      </c>
      <c r="AH31" s="122">
        <f t="shared" si="27"/>
        <v>1</v>
      </c>
      <c r="AI31" s="111">
        <f t="shared" si="27"/>
        <v>0</v>
      </c>
      <c r="AJ31" s="147">
        <f t="shared" si="28"/>
        <v>0</v>
      </c>
      <c r="AK31" s="146">
        <f t="shared" si="29"/>
        <v>0</v>
      </c>
      <c r="AP31" s="25"/>
      <c r="AQ31" s="25"/>
      <c r="AR31" s="25"/>
      <c r="AS31" s="25"/>
      <c r="AT31" s="25"/>
      <c r="AU31" s="25"/>
      <c r="AW31" s="25"/>
      <c r="AX31" s="25"/>
      <c r="AY31" s="25"/>
      <c r="AZ31" s="25"/>
      <c r="BA31" s="25"/>
      <c r="BB31" s="25"/>
      <c r="BF31" s="25"/>
      <c r="BG31" s="25"/>
      <c r="BH31" s="25"/>
      <c r="BI31" s="25"/>
      <c r="BJ31" s="25"/>
      <c r="BK31" s="25"/>
      <c r="BM31" s="25"/>
      <c r="BN31" s="25"/>
      <c r="BO31" s="25"/>
      <c r="BP31" s="25"/>
      <c r="BQ31" s="25"/>
      <c r="BR31" s="25"/>
      <c r="BU31" s="25"/>
      <c r="BV31" s="25"/>
      <c r="BW31" s="25"/>
      <c r="BX31" s="25"/>
      <c r="BY31" s="25"/>
      <c r="BZ31" s="25"/>
      <c r="CB31" s="25"/>
      <c r="CC31" s="25"/>
      <c r="CD31" s="25"/>
      <c r="CE31" s="25"/>
      <c r="CF31" s="25"/>
      <c r="CG31" s="25"/>
    </row>
    <row r="32" spans="1:89" ht="14" customHeight="1">
      <c r="A32" s="86" t="str">
        <f>IF(Poor!A32=0,"",Poor!A32)</f>
        <v>Sheep sales - local: no. sold</v>
      </c>
      <c r="B32" s="217">
        <f>IF([1]Summ!C1067="",0,[1]Summ!C1067)</f>
        <v>0</v>
      </c>
      <c r="C32" s="217">
        <f>IF([1]Summ!D1067="",0,[1]Summ!D1067)</f>
        <v>0</v>
      </c>
      <c r="D32" s="38">
        <f t="shared" si="17"/>
        <v>0</v>
      </c>
      <c r="E32" s="75">
        <f>Poor!E32</f>
        <v>1</v>
      </c>
      <c r="F32" s="75">
        <f>Poor!F32</f>
        <v>1.0900000000000001</v>
      </c>
      <c r="G32" s="22">
        <f t="shared" si="25"/>
        <v>1.1200000000000001</v>
      </c>
      <c r="H32" s="24">
        <f t="shared" si="18"/>
        <v>1.0900000000000001</v>
      </c>
      <c r="I32" s="39">
        <f t="shared" si="19"/>
        <v>0</v>
      </c>
      <c r="J32" s="38">
        <f t="shared" si="20"/>
        <v>0</v>
      </c>
      <c r="K32" s="40">
        <f t="shared" si="21"/>
        <v>0</v>
      </c>
      <c r="L32" s="22">
        <f t="shared" si="22"/>
        <v>0</v>
      </c>
      <c r="M32" s="24">
        <f t="shared" si="23"/>
        <v>0</v>
      </c>
      <c r="N32" s="2"/>
      <c r="O32" s="2"/>
      <c r="P32" s="2"/>
      <c r="Q32" s="59" t="s">
        <v>145</v>
      </c>
      <c r="R32" s="180">
        <f>$B$57+((1-$D$21)*$B$70)</f>
        <v>16436.928182135824</v>
      </c>
      <c r="S32" s="180">
        <f>($B$57*$H$57)+((1-($D$21*$H$21))*$I$70)</f>
        <v>18678.904463959963</v>
      </c>
      <c r="T32" s="180">
        <f>($B$57*$H$57)+((1-($D$21*$H$21))*$I$70)</f>
        <v>18678.904463959963</v>
      </c>
      <c r="U32" s="56"/>
      <c r="V32" s="56"/>
      <c r="W32" s="114"/>
      <c r="X32" s="117">
        <f>X9</f>
        <v>1</v>
      </c>
      <c r="Y32" s="109"/>
      <c r="Z32" s="121">
        <f>Z9</f>
        <v>0.47768591276388056</v>
      </c>
      <c r="AA32" s="146">
        <f t="shared" si="30"/>
        <v>0</v>
      </c>
      <c r="AB32" s="121">
        <f>AB9</f>
        <v>0.47768591276388056</v>
      </c>
      <c r="AC32" s="146">
        <f t="shared" si="31"/>
        <v>0</v>
      </c>
      <c r="AD32" s="121">
        <f>AD9</f>
        <v>4.462817447223888E-2</v>
      </c>
      <c r="AE32" s="146">
        <f t="shared" si="32"/>
        <v>0</v>
      </c>
      <c r="AF32" s="121">
        <f t="shared" si="24"/>
        <v>0</v>
      </c>
      <c r="AG32" s="146">
        <f t="shared" si="26"/>
        <v>0</v>
      </c>
      <c r="AH32" s="122">
        <f t="shared" si="27"/>
        <v>1</v>
      </c>
      <c r="AI32" s="111">
        <f t="shared" si="27"/>
        <v>0</v>
      </c>
      <c r="AJ32" s="147">
        <f t="shared" si="28"/>
        <v>0</v>
      </c>
      <c r="AK32" s="146">
        <f t="shared" si="29"/>
        <v>0</v>
      </c>
      <c r="AP32" s="25"/>
      <c r="AQ32" s="25"/>
      <c r="AR32" s="25"/>
      <c r="AS32" s="25"/>
      <c r="AT32" s="25"/>
      <c r="AU32" s="25"/>
      <c r="AW32" s="25"/>
      <c r="AX32" s="25"/>
      <c r="AY32" s="25"/>
      <c r="AZ32" s="25"/>
      <c r="BA32" s="25"/>
      <c r="BB32" s="25"/>
      <c r="BF32" s="25"/>
      <c r="BG32" s="25"/>
      <c r="BH32" s="25"/>
      <c r="BI32" s="25"/>
      <c r="BJ32" s="25"/>
      <c r="BK32" s="25"/>
      <c r="BM32" s="25"/>
      <c r="BN32" s="25"/>
      <c r="BO32" s="25"/>
      <c r="BP32" s="25"/>
      <c r="BQ32" s="25"/>
      <c r="BR32" s="25"/>
      <c r="BU32" s="25"/>
      <c r="BV32" s="25"/>
      <c r="BW32" s="25"/>
      <c r="BX32" s="25"/>
      <c r="BY32" s="25"/>
      <c r="BZ32" s="25"/>
      <c r="CB32" s="25"/>
      <c r="CC32" s="25"/>
      <c r="CD32" s="25"/>
      <c r="CE32" s="25"/>
      <c r="CF32" s="25"/>
      <c r="CG32" s="25"/>
    </row>
    <row r="33" spans="1:85" ht="14" customHeight="1">
      <c r="A33" s="86" t="str">
        <f>IF(Poor!A33=0,"",Poor!A33)</f>
        <v>Chicken sales: no. sold</v>
      </c>
      <c r="B33" s="217">
        <f>IF([1]Summ!C1068="",0,[1]Summ!C1068)</f>
        <v>135</v>
      </c>
      <c r="C33" s="217">
        <f>IF([1]Summ!D1068="",0,[1]Summ!D1068)</f>
        <v>0</v>
      </c>
      <c r="D33" s="38">
        <f t="shared" si="17"/>
        <v>135</v>
      </c>
      <c r="E33" s="75">
        <f>Poor!E33</f>
        <v>1</v>
      </c>
      <c r="F33" s="75">
        <f>Poor!F33</f>
        <v>1.0900000000000001</v>
      </c>
      <c r="G33" s="22">
        <f t="shared" si="25"/>
        <v>1.1200000000000001</v>
      </c>
      <c r="H33" s="24">
        <f t="shared" si="18"/>
        <v>1.0900000000000001</v>
      </c>
      <c r="I33" s="39">
        <f t="shared" si="19"/>
        <v>147.15</v>
      </c>
      <c r="J33" s="38">
        <f t="shared" si="20"/>
        <v>147.15</v>
      </c>
      <c r="K33" s="40">
        <f t="shared" si="21"/>
        <v>4.0040445817216561E-3</v>
      </c>
      <c r="L33" s="22">
        <f t="shared" si="22"/>
        <v>4.3644085940766058E-3</v>
      </c>
      <c r="M33" s="24">
        <f t="shared" si="23"/>
        <v>4.3644085940766058E-3</v>
      </c>
      <c r="N33" s="2"/>
      <c r="O33" s="2"/>
      <c r="P33" s="2"/>
      <c r="Q33" s="59" t="s">
        <v>146</v>
      </c>
      <c r="R33" s="180">
        <f>$B$57+$B$58+((1-$D$21)*$B$70)</f>
        <v>28120.928182135824</v>
      </c>
      <c r="S33" s="41">
        <f>(($B$57*$H$57)+($B$58*$H$58)+((1-($D$21*$H$21))*$I$70))</f>
        <v>31648.144463959969</v>
      </c>
      <c r="T33" s="41">
        <f>(($B$57*$H$57)+($B$58*$H$58)+((1-($D$21*$H$21))*$I$70))</f>
        <v>31648.144463959969</v>
      </c>
      <c r="U33" s="56"/>
      <c r="V33" s="56"/>
      <c r="W33" s="114"/>
      <c r="X33" s="117">
        <f>X11</f>
        <v>1</v>
      </c>
      <c r="Y33" s="109"/>
      <c r="Z33" s="121">
        <f>Z11</f>
        <v>0.47768591276388062</v>
      </c>
      <c r="AA33" s="146">
        <f t="shared" si="30"/>
        <v>70.291482063205038</v>
      </c>
      <c r="AB33" s="121">
        <f>AB11</f>
        <v>0.47768591276388062</v>
      </c>
      <c r="AC33" s="146">
        <f t="shared" si="31"/>
        <v>70.291482063205038</v>
      </c>
      <c r="AD33" s="121">
        <f>AD11</f>
        <v>4.4628174472238782E-2</v>
      </c>
      <c r="AE33" s="146">
        <f t="shared" si="32"/>
        <v>6.567035873589937</v>
      </c>
      <c r="AF33" s="121">
        <f t="shared" si="24"/>
        <v>0</v>
      </c>
      <c r="AG33" s="146">
        <f t="shared" si="26"/>
        <v>0</v>
      </c>
      <c r="AH33" s="122">
        <f t="shared" si="27"/>
        <v>1</v>
      </c>
      <c r="AI33" s="111">
        <f t="shared" si="27"/>
        <v>147.15</v>
      </c>
      <c r="AJ33" s="147">
        <f t="shared" si="28"/>
        <v>140.58296412641008</v>
      </c>
      <c r="AK33" s="146">
        <f t="shared" si="29"/>
        <v>6.567035873589937</v>
      </c>
      <c r="AP33" s="25"/>
      <c r="AQ33" s="25"/>
      <c r="AR33" s="25"/>
      <c r="AS33" s="25"/>
      <c r="AT33" s="25"/>
      <c r="AU33" s="25"/>
      <c r="AW33" s="25"/>
      <c r="AX33" s="25"/>
      <c r="AY33" s="25"/>
      <c r="AZ33" s="25"/>
      <c r="BA33" s="25"/>
      <c r="BB33" s="25"/>
      <c r="BF33" s="25"/>
      <c r="BG33" s="25"/>
      <c r="BH33" s="25"/>
      <c r="BI33" s="25"/>
      <c r="BJ33" s="25"/>
      <c r="BK33" s="25"/>
      <c r="BM33" s="25"/>
      <c r="BN33" s="25"/>
      <c r="BO33" s="25"/>
      <c r="BP33" s="25"/>
      <c r="BQ33" s="25"/>
      <c r="BR33" s="25"/>
      <c r="BU33" s="25"/>
      <c r="BV33" s="25"/>
      <c r="BW33" s="25"/>
      <c r="BX33" s="25"/>
      <c r="BY33" s="25"/>
      <c r="BZ33" s="25"/>
      <c r="CB33" s="25"/>
      <c r="CC33" s="25"/>
      <c r="CD33" s="25"/>
      <c r="CE33" s="25"/>
      <c r="CF33" s="25"/>
      <c r="CG33" s="25"/>
    </row>
    <row r="34" spans="1:85" ht="14" customHeight="1">
      <c r="A34" s="86" t="str">
        <f>IF(Poor!A34=0,"",Poor!A34)</f>
        <v>Maize: kg produced</v>
      </c>
      <c r="B34" s="217">
        <f>IF([1]Summ!C1069="",0,[1]Summ!C1069)</f>
        <v>0</v>
      </c>
      <c r="C34" s="217">
        <f>IF([1]Summ!D1069="",0,[1]Summ!D1069)</f>
        <v>0</v>
      </c>
      <c r="D34" s="38">
        <f t="shared" si="17"/>
        <v>0</v>
      </c>
      <c r="E34" s="75">
        <f>Poor!E34</f>
        <v>1</v>
      </c>
      <c r="F34" s="75">
        <f>Poor!F34</f>
        <v>1.02</v>
      </c>
      <c r="G34" s="22">
        <f t="shared" si="25"/>
        <v>1.1200000000000001</v>
      </c>
      <c r="H34" s="24">
        <f t="shared" si="18"/>
        <v>1.02</v>
      </c>
      <c r="I34" s="39">
        <f t="shared" si="19"/>
        <v>0</v>
      </c>
      <c r="J34" s="38">
        <f t="shared" si="20"/>
        <v>0</v>
      </c>
      <c r="K34" s="40">
        <f t="shared" si="21"/>
        <v>0</v>
      </c>
      <c r="L34" s="22">
        <f t="shared" si="22"/>
        <v>0</v>
      </c>
      <c r="M34" s="24">
        <f t="shared" si="23"/>
        <v>0</v>
      </c>
      <c r="N34" s="2"/>
      <c r="O34" s="2"/>
      <c r="P34" s="175"/>
      <c r="Q34" s="59" t="s">
        <v>147</v>
      </c>
      <c r="R34" s="180">
        <f>$B$57+$B$58+$B$59+((1-$D$21)*$B$70)</f>
        <v>48928.928182135824</v>
      </c>
      <c r="S34" s="41">
        <f>(($B$57*$H$57)+($B$58*$H$58)+($B$59*$H$59)+((1-($D$21*$H$21))*$I$70))</f>
        <v>54745.024463959962</v>
      </c>
      <c r="T34" s="41">
        <f>(($B$57*$H$57)+($B$58*$H$58)+($B$59*$H$59)+((1-($D$21*$H$21))*$I$70))</f>
        <v>54745.024463959962</v>
      </c>
      <c r="U34" s="56"/>
      <c r="V34" s="56"/>
      <c r="W34" s="114"/>
      <c r="X34" s="117">
        <v>1</v>
      </c>
      <c r="Y34" s="109"/>
      <c r="Z34" s="155">
        <f>Poor!Z34</f>
        <v>0.25</v>
      </c>
      <c r="AA34" s="146">
        <f t="shared" si="30"/>
        <v>0</v>
      </c>
      <c r="AB34" s="155">
        <f>Poor!AB34</f>
        <v>0</v>
      </c>
      <c r="AC34" s="146">
        <f t="shared" si="31"/>
        <v>0</v>
      </c>
      <c r="AD34" s="155">
        <f>Poor!AD34</f>
        <v>0.5</v>
      </c>
      <c r="AE34" s="146">
        <f t="shared" si="32"/>
        <v>0</v>
      </c>
      <c r="AF34" s="121">
        <f t="shared" si="24"/>
        <v>0.25</v>
      </c>
      <c r="AG34" s="146">
        <f t="shared" si="26"/>
        <v>0</v>
      </c>
      <c r="AH34" s="122">
        <f t="shared" si="27"/>
        <v>1</v>
      </c>
      <c r="AI34" s="111">
        <f t="shared" si="27"/>
        <v>0</v>
      </c>
      <c r="AJ34" s="147">
        <f t="shared" si="28"/>
        <v>0</v>
      </c>
      <c r="AK34" s="146">
        <f t="shared" si="29"/>
        <v>0</v>
      </c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5" ht="14" customHeight="1">
      <c r="A35" s="86" t="str">
        <f>IF(Poor!A35=0,"",Poor!A35)</f>
        <v>Cowpeas: kg produced</v>
      </c>
      <c r="B35" s="217">
        <f>IF([1]Summ!C1070="",0,[1]Summ!C1070)</f>
        <v>0</v>
      </c>
      <c r="C35" s="217">
        <f>IF([1]Summ!D1070="",0,[1]Summ!D1070)</f>
        <v>0</v>
      </c>
      <c r="D35" s="38">
        <f t="shared" si="17"/>
        <v>0</v>
      </c>
      <c r="E35" s="75">
        <f>Poor!E35</f>
        <v>1</v>
      </c>
      <c r="F35" s="75">
        <f>Poor!F35</f>
        <v>1</v>
      </c>
      <c r="G35" s="22">
        <f t="shared" si="25"/>
        <v>1.1200000000000001</v>
      </c>
      <c r="H35" s="24">
        <f t="shared" si="18"/>
        <v>1</v>
      </c>
      <c r="I35" s="39">
        <f t="shared" si="19"/>
        <v>0</v>
      </c>
      <c r="J35" s="38">
        <f t="shared" si="20"/>
        <v>0</v>
      </c>
      <c r="K35" s="40">
        <f t="shared" si="21"/>
        <v>0</v>
      </c>
      <c r="L35" s="22">
        <f t="shared" si="22"/>
        <v>0</v>
      </c>
      <c r="M35" s="24">
        <f t="shared" si="23"/>
        <v>0</v>
      </c>
      <c r="N35" s="2"/>
      <c r="O35" s="2"/>
      <c r="P35" s="175"/>
      <c r="Q35" s="59" t="s">
        <v>148</v>
      </c>
      <c r="R35" s="180">
        <f>$B$57+$B$58+$B$59+$B$60+((1-$D$20-$D$21)*$B$70)</f>
        <v>49880.928182135824</v>
      </c>
      <c r="S35" s="41">
        <f>(($B$57*$H$57)+($B$58*$H$58)+($B$59*$H$59)+($B$60*$H$60)+((1-($D$20*$H$20)-($D$21*$H$21))*$I$70))</f>
        <v>55801.744463959963</v>
      </c>
      <c r="T35" s="41">
        <f>(($B$57*$H$57)+($B$58*$H$58)+($B$59*$H$59)+($B$60*$H$60)+((1-($D$20*$H$20)-($D$21*$H$21))*$I$70))</f>
        <v>55801.744463959963</v>
      </c>
      <c r="U35" s="56"/>
      <c r="V35" s="56"/>
      <c r="W35" s="114"/>
      <c r="X35" s="117"/>
      <c r="Y35" s="109"/>
      <c r="Z35" s="155">
        <f>Poor!Z35</f>
        <v>0.25</v>
      </c>
      <c r="AA35" s="146">
        <f t="shared" si="30"/>
        <v>0</v>
      </c>
      <c r="AB35" s="155">
        <f>Poor!AB35</f>
        <v>0.25</v>
      </c>
      <c r="AC35" s="146">
        <f t="shared" si="31"/>
        <v>0</v>
      </c>
      <c r="AD35" s="155">
        <f>Poor!AD35</f>
        <v>0.25</v>
      </c>
      <c r="AE35" s="146">
        <f t="shared" si="32"/>
        <v>0</v>
      </c>
      <c r="AF35" s="121">
        <f t="shared" si="24"/>
        <v>0.25</v>
      </c>
      <c r="AG35" s="146">
        <f t="shared" si="26"/>
        <v>0</v>
      </c>
      <c r="AH35" s="122">
        <f t="shared" si="27"/>
        <v>1</v>
      </c>
      <c r="AI35" s="111">
        <f t="shared" si="27"/>
        <v>0</v>
      </c>
      <c r="AJ35" s="147">
        <f t="shared" si="28"/>
        <v>0</v>
      </c>
      <c r="AK35" s="146">
        <f t="shared" si="29"/>
        <v>0</v>
      </c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5" ht="14" customHeight="1">
      <c r="A36" s="86" t="str">
        <f>IF(Poor!A36=0,"",Poor!A36)</f>
        <v>Pumpkin: kg produce</v>
      </c>
      <c r="B36" s="217">
        <f>IF([1]Summ!C1071="",0,[1]Summ!C1071)</f>
        <v>0</v>
      </c>
      <c r="C36" s="217">
        <f>IF([1]Summ!D1071="",0,[1]Summ!D1071)</f>
        <v>0</v>
      </c>
      <c r="D36" s="38">
        <f t="shared" si="17"/>
        <v>0</v>
      </c>
      <c r="E36" s="75">
        <f>Poor!E36</f>
        <v>1</v>
      </c>
      <c r="F36" s="75">
        <f>Poor!F36</f>
        <v>1.1000000000000001</v>
      </c>
      <c r="G36" s="22">
        <f t="shared" si="25"/>
        <v>1.1200000000000001</v>
      </c>
      <c r="H36" s="24">
        <f t="shared" si="18"/>
        <v>1.1000000000000001</v>
      </c>
      <c r="I36" s="39">
        <f t="shared" si="19"/>
        <v>0</v>
      </c>
      <c r="J36" s="38">
        <f t="shared" si="20"/>
        <v>0</v>
      </c>
      <c r="K36" s="40">
        <f t="shared" si="21"/>
        <v>0</v>
      </c>
      <c r="L36" s="22">
        <f t="shared" si="22"/>
        <v>0</v>
      </c>
      <c r="M36" s="24">
        <f t="shared" si="23"/>
        <v>0</v>
      </c>
      <c r="N36" s="2"/>
      <c r="O36" s="2"/>
      <c r="P36" s="2"/>
      <c r="Q36" s="59"/>
      <c r="R36" s="223"/>
      <c r="S36" s="223"/>
      <c r="T36" s="223"/>
      <c r="U36" s="56"/>
      <c r="V36" s="56"/>
      <c r="W36" s="116"/>
      <c r="X36" s="117"/>
      <c r="Y36" s="109"/>
      <c r="Z36" s="155">
        <f>Poor!Z36</f>
        <v>0.25</v>
      </c>
      <c r="AA36" s="146">
        <f t="shared" si="30"/>
        <v>0</v>
      </c>
      <c r="AB36" s="155">
        <f>Poor!AB36</f>
        <v>0.25</v>
      </c>
      <c r="AC36" s="146">
        <f t="shared" si="31"/>
        <v>0</v>
      </c>
      <c r="AD36" s="155">
        <f>Poor!AD36</f>
        <v>0.25</v>
      </c>
      <c r="AE36" s="146">
        <f t="shared" si="32"/>
        <v>0</v>
      </c>
      <c r="AF36" s="121">
        <f t="shared" si="24"/>
        <v>0.25</v>
      </c>
      <c r="AG36" s="146">
        <f t="shared" si="26"/>
        <v>0</v>
      </c>
      <c r="AH36" s="122">
        <f t="shared" si="27"/>
        <v>1</v>
      </c>
      <c r="AI36" s="111">
        <f t="shared" si="27"/>
        <v>0</v>
      </c>
      <c r="AJ36" s="147">
        <f t="shared" si="28"/>
        <v>0</v>
      </c>
      <c r="AK36" s="146">
        <f t="shared" si="29"/>
        <v>0</v>
      </c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5" ht="14" customHeight="1">
      <c r="A37" s="74" t="str">
        <f>IF(Poor!A37=0,"",Poor!A37)</f>
        <v>Cabbage: number produced</v>
      </c>
      <c r="B37" s="217">
        <f>IF([1]Summ!C1072="",0,[1]Summ!C1072)</f>
        <v>0</v>
      </c>
      <c r="C37" s="217">
        <f>IF([1]Summ!D1072="",0,[1]Summ!D1072)</f>
        <v>0</v>
      </c>
      <c r="D37" s="38">
        <f t="shared" si="17"/>
        <v>0</v>
      </c>
      <c r="E37" s="75">
        <f>Poor!E37</f>
        <v>1</v>
      </c>
      <c r="F37" s="75">
        <f>Poor!F37</f>
        <v>1.08</v>
      </c>
      <c r="G37" s="22">
        <f t="shared" si="25"/>
        <v>1.1200000000000001</v>
      </c>
      <c r="H37" s="24">
        <f t="shared" si="18"/>
        <v>1.08</v>
      </c>
      <c r="I37" s="39">
        <f t="shared" si="19"/>
        <v>0</v>
      </c>
      <c r="J37" s="38">
        <f t="shared" si="20"/>
        <v>0</v>
      </c>
      <c r="K37" s="40">
        <f t="shared" si="21"/>
        <v>0</v>
      </c>
      <c r="L37" s="22">
        <f t="shared" si="22"/>
        <v>0</v>
      </c>
      <c r="M37" s="24">
        <f t="shared" si="23"/>
        <v>0</v>
      </c>
      <c r="N37" s="2"/>
      <c r="O37" s="2"/>
      <c r="P37" s="2"/>
      <c r="Q37" s="244" t="s">
        <v>149</v>
      </c>
      <c r="R37" s="244">
        <f>IF(R24&gt;R$23,R24-R$23,0)</f>
        <v>0</v>
      </c>
      <c r="S37" s="244">
        <f t="shared" ref="S37:T40" si="33">IF(S24&gt;S$23,S24-S$23,0)</f>
        <v>0</v>
      </c>
      <c r="T37" s="244">
        <f t="shared" si="33"/>
        <v>0</v>
      </c>
      <c r="U37" s="56"/>
      <c r="V37" s="56"/>
      <c r="W37" s="109"/>
      <c r="X37" s="117"/>
      <c r="Y37" s="109"/>
      <c r="Z37" s="155">
        <f>Poor!Z37</f>
        <v>0.25</v>
      </c>
      <c r="AA37" s="146">
        <f t="shared" si="30"/>
        <v>0</v>
      </c>
      <c r="AB37" s="155">
        <f>Poor!AB37</f>
        <v>0.25</v>
      </c>
      <c r="AC37" s="146">
        <f t="shared" si="31"/>
        <v>0</v>
      </c>
      <c r="AD37" s="155">
        <f>Poor!AD37</f>
        <v>0.25</v>
      </c>
      <c r="AE37" s="146">
        <f t="shared" si="32"/>
        <v>0</v>
      </c>
      <c r="AF37" s="121">
        <f t="shared" si="24"/>
        <v>0.25</v>
      </c>
      <c r="AG37" s="146">
        <f t="shared" si="26"/>
        <v>0</v>
      </c>
      <c r="AH37" s="122">
        <f t="shared" si="27"/>
        <v>1</v>
      </c>
      <c r="AI37" s="111">
        <f t="shared" si="27"/>
        <v>0</v>
      </c>
      <c r="AJ37" s="147">
        <f t="shared" si="28"/>
        <v>0</v>
      </c>
      <c r="AK37" s="146">
        <f t="shared" si="29"/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5" ht="14" customHeight="1">
      <c r="A38" s="74" t="str">
        <f>IF(Poor!A38=0,"",Poor!A38)</f>
        <v>Tomato: kg produced</v>
      </c>
      <c r="B38" s="217">
        <f>IF([1]Summ!C1073="",0,[1]Summ!C1073)</f>
        <v>0</v>
      </c>
      <c r="C38" s="217">
        <f>IF([1]Summ!D1073="",0,[1]Summ!D1073)</f>
        <v>0</v>
      </c>
      <c r="D38" s="38">
        <f t="shared" si="17"/>
        <v>0</v>
      </c>
      <c r="E38" s="75">
        <f>Poor!E38</f>
        <v>1</v>
      </c>
      <c r="F38" s="75">
        <f>Poor!F38</f>
        <v>0.94</v>
      </c>
      <c r="G38" s="22">
        <f t="shared" si="25"/>
        <v>1.1200000000000001</v>
      </c>
      <c r="H38" s="24">
        <f t="shared" si="18"/>
        <v>0.94</v>
      </c>
      <c r="I38" s="39">
        <f t="shared" si="19"/>
        <v>0</v>
      </c>
      <c r="J38" s="38">
        <f t="shared" si="20"/>
        <v>0</v>
      </c>
      <c r="K38" s="40">
        <f t="shared" si="21"/>
        <v>0</v>
      </c>
      <c r="L38" s="22">
        <f t="shared" si="22"/>
        <v>0</v>
      </c>
      <c r="M38" s="24">
        <f t="shared" si="23"/>
        <v>0</v>
      </c>
      <c r="N38" s="2"/>
      <c r="O38" s="2"/>
      <c r="P38" s="2"/>
      <c r="Q38" s="248" t="s">
        <v>150</v>
      </c>
      <c r="R38" s="244">
        <f>IF(R25&gt;R$23,R25-R$23,0)</f>
        <v>0</v>
      </c>
      <c r="S38" s="244">
        <f t="shared" si="33"/>
        <v>0</v>
      </c>
      <c r="T38" s="244">
        <f t="shared" si="33"/>
        <v>0</v>
      </c>
      <c r="U38" s="56"/>
      <c r="V38" s="56"/>
      <c r="W38" s="109"/>
      <c r="X38" s="117"/>
      <c r="Y38" s="109"/>
      <c r="Z38" s="155">
        <f>Poor!Z38</f>
        <v>0.25</v>
      </c>
      <c r="AA38" s="146">
        <f t="shared" si="30"/>
        <v>0</v>
      </c>
      <c r="AB38" s="155">
        <f>Poor!AB38</f>
        <v>0.25</v>
      </c>
      <c r="AC38" s="146">
        <f t="shared" si="31"/>
        <v>0</v>
      </c>
      <c r="AD38" s="155">
        <f>Poor!AD38</f>
        <v>0.25</v>
      </c>
      <c r="AE38" s="146">
        <f t="shared" si="32"/>
        <v>0</v>
      </c>
      <c r="AF38" s="121">
        <f t="shared" si="24"/>
        <v>0.25</v>
      </c>
      <c r="AG38" s="146">
        <f t="shared" si="26"/>
        <v>0</v>
      </c>
      <c r="AH38" s="122">
        <f t="shared" si="27"/>
        <v>1</v>
      </c>
      <c r="AI38" s="111">
        <f t="shared" si="27"/>
        <v>0</v>
      </c>
      <c r="AJ38" s="147">
        <f t="shared" si="28"/>
        <v>0</v>
      </c>
      <c r="AK38" s="146">
        <f t="shared" si="29"/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5" ht="14" customHeight="1">
      <c r="A39" s="74" t="str">
        <f>IF(Poor!A39=0,"",Poor!A39)</f>
        <v>Onions: kg produced</v>
      </c>
      <c r="B39" s="217">
        <f>IF([1]Summ!C1074="",0,[1]Summ!C1074)</f>
        <v>0</v>
      </c>
      <c r="C39" s="217">
        <f>IF([1]Summ!D1074="",0,[1]Summ!D1074)</f>
        <v>0</v>
      </c>
      <c r="D39" s="38">
        <f t="shared" si="17"/>
        <v>0</v>
      </c>
      <c r="E39" s="75">
        <f>Poor!E39</f>
        <v>1</v>
      </c>
      <c r="F39" s="75">
        <f>Poor!F39</f>
        <v>0.93</v>
      </c>
      <c r="G39" s="22">
        <f t="shared" si="25"/>
        <v>1.1200000000000001</v>
      </c>
      <c r="H39" s="24">
        <f t="shared" si="18"/>
        <v>0.93</v>
      </c>
      <c r="I39" s="39">
        <f t="shared" si="19"/>
        <v>0</v>
      </c>
      <c r="J39" s="38">
        <f t="shared" si="20"/>
        <v>0</v>
      </c>
      <c r="K39" s="40">
        <f t="shared" si="21"/>
        <v>0</v>
      </c>
      <c r="L39" s="22">
        <f t="shared" si="22"/>
        <v>0</v>
      </c>
      <c r="M39" s="24">
        <f t="shared" si="23"/>
        <v>0</v>
      </c>
      <c r="N39" s="2"/>
      <c r="O39" s="2"/>
      <c r="P39" s="2"/>
      <c r="Q39" s="244" t="s">
        <v>151</v>
      </c>
      <c r="R39" s="244">
        <f>IF(R26&gt;R$23,R26-R$23,0)</f>
        <v>15687.67919696874</v>
      </c>
      <c r="S39" s="244">
        <f t="shared" si="33"/>
        <v>15900.583443130286</v>
      </c>
      <c r="T39" s="244">
        <f t="shared" si="33"/>
        <v>15593.966643238316</v>
      </c>
      <c r="U39" s="56"/>
      <c r="V39" s="56"/>
      <c r="W39" s="109"/>
      <c r="X39" s="117"/>
      <c r="Y39" s="109"/>
      <c r="Z39" s="155">
        <f>Poor!Z39</f>
        <v>0.25</v>
      </c>
      <c r="AA39" s="146">
        <f t="shared" si="30"/>
        <v>0</v>
      </c>
      <c r="AB39" s="155">
        <f>Poor!AB39</f>
        <v>0.25</v>
      </c>
      <c r="AC39" s="146">
        <f t="shared" si="31"/>
        <v>0</v>
      </c>
      <c r="AD39" s="155">
        <f>Poor!AD39</f>
        <v>0.25</v>
      </c>
      <c r="AE39" s="146">
        <f t="shared" si="32"/>
        <v>0</v>
      </c>
      <c r="AF39" s="121">
        <f t="shared" si="24"/>
        <v>0.25</v>
      </c>
      <c r="AG39" s="146">
        <f t="shared" si="26"/>
        <v>0</v>
      </c>
      <c r="AH39" s="122">
        <f t="shared" si="27"/>
        <v>1</v>
      </c>
      <c r="AI39" s="111">
        <f t="shared" si="27"/>
        <v>0</v>
      </c>
      <c r="AJ39" s="147">
        <f t="shared" si="28"/>
        <v>0</v>
      </c>
      <c r="AK39" s="146">
        <f t="shared" si="2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5" ht="14" customHeight="1">
      <c r="A40" s="74" t="str">
        <f>IF(Poor!A40=0,"",Poor!A40)</f>
        <v>Beetroot: kg produced</v>
      </c>
      <c r="B40" s="217">
        <f>IF([1]Summ!C1075="",0,[1]Summ!C1075)</f>
        <v>0</v>
      </c>
      <c r="C40" s="217">
        <f>IF([1]Summ!D1075="",0,[1]Summ!D1075)</f>
        <v>0</v>
      </c>
      <c r="D40" s="38">
        <f t="shared" si="17"/>
        <v>0</v>
      </c>
      <c r="E40" s="75">
        <f>Poor!E40</f>
        <v>1</v>
      </c>
      <c r="F40" s="75">
        <f>Poor!F40</f>
        <v>1</v>
      </c>
      <c r="G40" s="22">
        <f t="shared" si="25"/>
        <v>1.1200000000000001</v>
      </c>
      <c r="H40" s="24">
        <f t="shared" si="18"/>
        <v>1</v>
      </c>
      <c r="I40" s="39">
        <f t="shared" si="19"/>
        <v>0</v>
      </c>
      <c r="J40" s="38">
        <f t="shared" si="20"/>
        <v>0</v>
      </c>
      <c r="K40" s="40">
        <f t="shared" si="21"/>
        <v>0</v>
      </c>
      <c r="L40" s="22">
        <f t="shared" si="22"/>
        <v>0</v>
      </c>
      <c r="M40" s="24">
        <f t="shared" si="23"/>
        <v>0</v>
      </c>
      <c r="N40" s="2"/>
      <c r="O40" s="2"/>
      <c r="P40" s="2"/>
      <c r="Q40" s="248" t="s">
        <v>152</v>
      </c>
      <c r="R40" s="244">
        <f>IF(R27&gt;R$23,R27-R$23,0)</f>
        <v>16769.530796771694</v>
      </c>
      <c r="S40" s="244">
        <f t="shared" si="33"/>
        <v>16957.303443130288</v>
      </c>
      <c r="T40" s="244">
        <f t="shared" si="33"/>
        <v>16650.686643238318</v>
      </c>
      <c r="U40" s="56"/>
      <c r="V40" s="56"/>
      <c r="W40" s="109"/>
      <c r="X40" s="117"/>
      <c r="Y40" s="109"/>
      <c r="Z40" s="155">
        <f>Poor!Z40</f>
        <v>0.25</v>
      </c>
      <c r="AA40" s="146">
        <f t="shared" si="30"/>
        <v>0</v>
      </c>
      <c r="AB40" s="155">
        <f>Poor!AB40</f>
        <v>0.25</v>
      </c>
      <c r="AC40" s="146">
        <f t="shared" si="31"/>
        <v>0</v>
      </c>
      <c r="AD40" s="155">
        <f>Poor!AD40</f>
        <v>0.25</v>
      </c>
      <c r="AE40" s="146">
        <f t="shared" si="32"/>
        <v>0</v>
      </c>
      <c r="AF40" s="121">
        <f t="shared" si="24"/>
        <v>0.25</v>
      </c>
      <c r="AG40" s="146">
        <f t="shared" si="26"/>
        <v>0</v>
      </c>
      <c r="AH40" s="122">
        <f t="shared" si="27"/>
        <v>1</v>
      </c>
      <c r="AI40" s="111">
        <f t="shared" si="27"/>
        <v>0</v>
      </c>
      <c r="AJ40" s="147">
        <f t="shared" si="28"/>
        <v>0</v>
      </c>
      <c r="AK40" s="146">
        <f t="shared" si="2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5" ht="14" customHeight="1">
      <c r="A41" s="74" t="str">
        <f>IF(Poor!A41=0,"",Poor!A41)</f>
        <v>Spinach: kg produced</v>
      </c>
      <c r="B41" s="217">
        <f>IF([1]Summ!C1076="",0,[1]Summ!C1076)</f>
        <v>0</v>
      </c>
      <c r="C41" s="217">
        <f>IF([1]Summ!D1076="",0,[1]Summ!D1076)</f>
        <v>0</v>
      </c>
      <c r="D41" s="38">
        <f t="shared" si="17"/>
        <v>0</v>
      </c>
      <c r="E41" s="75">
        <f>Poor!E41</f>
        <v>1</v>
      </c>
      <c r="F41" s="75">
        <f>Poor!F41</f>
        <v>1.03</v>
      </c>
      <c r="G41" s="22">
        <f t="shared" si="25"/>
        <v>1.1200000000000001</v>
      </c>
      <c r="H41" s="24">
        <f t="shared" si="18"/>
        <v>1.03</v>
      </c>
      <c r="I41" s="39">
        <f t="shared" si="19"/>
        <v>0</v>
      </c>
      <c r="J41" s="38">
        <f t="shared" si="20"/>
        <v>0</v>
      </c>
      <c r="K41" s="40">
        <f t="shared" si="21"/>
        <v>0</v>
      </c>
      <c r="L41" s="22">
        <f t="shared" si="22"/>
        <v>0</v>
      </c>
      <c r="M41" s="24">
        <f t="shared" si="23"/>
        <v>0</v>
      </c>
      <c r="N41" s="2"/>
      <c r="O41" s="2"/>
      <c r="P41" s="2"/>
      <c r="Q41" s="2"/>
      <c r="R41" s="220"/>
      <c r="S41" s="2"/>
      <c r="T41" s="2"/>
      <c r="U41" s="56"/>
      <c r="V41" s="56"/>
      <c r="W41" s="109"/>
      <c r="X41" s="117"/>
      <c r="Y41" s="109"/>
      <c r="Z41" s="155">
        <f>Poor!Z41</f>
        <v>0.25</v>
      </c>
      <c r="AA41" s="146">
        <f t="shared" si="30"/>
        <v>0</v>
      </c>
      <c r="AB41" s="155">
        <f>Poor!AB41</f>
        <v>0.25</v>
      </c>
      <c r="AC41" s="146">
        <f t="shared" si="31"/>
        <v>0</v>
      </c>
      <c r="AD41" s="155">
        <f>Poor!AD41</f>
        <v>0.25</v>
      </c>
      <c r="AE41" s="146">
        <f t="shared" si="32"/>
        <v>0</v>
      </c>
      <c r="AF41" s="121">
        <f t="shared" si="24"/>
        <v>0.25</v>
      </c>
      <c r="AG41" s="146">
        <f t="shared" si="26"/>
        <v>0</v>
      </c>
      <c r="AH41" s="122">
        <f t="shared" si="27"/>
        <v>1</v>
      </c>
      <c r="AI41" s="111">
        <f t="shared" si="27"/>
        <v>0</v>
      </c>
      <c r="AJ41" s="147">
        <f t="shared" si="28"/>
        <v>0</v>
      </c>
      <c r="AK41" s="146">
        <f t="shared" si="2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5" ht="14" customHeight="1">
      <c r="A42" s="74" t="str">
        <f>IF(Poor!A42=0,"",Poor!A42)</f>
        <v>WILD FOODS -- see worksheet Data 3</v>
      </c>
      <c r="B42" s="217">
        <f>IF([1]Summ!C1077="",0,[1]Summ!C1077)</f>
        <v>640</v>
      </c>
      <c r="C42" s="217">
        <f>IF([1]Summ!D1077="",0,[1]Summ!D1077)</f>
        <v>110</v>
      </c>
      <c r="D42" s="38">
        <f t="shared" si="17"/>
        <v>750</v>
      </c>
      <c r="E42" s="75">
        <f>Poor!E42</f>
        <v>0.8</v>
      </c>
      <c r="F42" s="75">
        <f>Poor!F42</f>
        <v>1</v>
      </c>
      <c r="G42" s="22">
        <f t="shared" si="25"/>
        <v>1.1200000000000001</v>
      </c>
      <c r="H42" s="24">
        <f t="shared" si="18"/>
        <v>0.8</v>
      </c>
      <c r="I42" s="39">
        <f t="shared" si="19"/>
        <v>600</v>
      </c>
      <c r="J42" s="38">
        <f t="shared" si="20"/>
        <v>600</v>
      </c>
      <c r="K42" s="40">
        <f t="shared" si="21"/>
        <v>1.8982137276310075E-2</v>
      </c>
      <c r="L42" s="22">
        <f t="shared" si="22"/>
        <v>1.5185709821048061E-2</v>
      </c>
      <c r="M42" s="24">
        <f t="shared" si="23"/>
        <v>1.7795753696540694E-2</v>
      </c>
      <c r="N42" s="2"/>
      <c r="O42" s="2"/>
      <c r="P42" s="2"/>
      <c r="Q42" s="2"/>
      <c r="R42" s="221"/>
      <c r="S42" s="2"/>
      <c r="T42" s="2"/>
      <c r="U42" s="56"/>
      <c r="V42" s="56"/>
      <c r="W42" s="109"/>
      <c r="X42" s="117"/>
      <c r="Y42" s="109"/>
      <c r="Z42" s="155">
        <f>Poor!Z42</f>
        <v>0.25</v>
      </c>
      <c r="AA42" s="146">
        <f t="shared" si="30"/>
        <v>150</v>
      </c>
      <c r="AB42" s="155">
        <f>Poor!AB42</f>
        <v>0.25</v>
      </c>
      <c r="AC42" s="146">
        <f t="shared" si="31"/>
        <v>150</v>
      </c>
      <c r="AD42" s="155">
        <f>Poor!AD42</f>
        <v>0.25</v>
      </c>
      <c r="AE42" s="146">
        <f t="shared" si="32"/>
        <v>150</v>
      </c>
      <c r="AF42" s="121">
        <f t="shared" si="24"/>
        <v>0.25</v>
      </c>
      <c r="AG42" s="146">
        <f t="shared" si="26"/>
        <v>150</v>
      </c>
      <c r="AH42" s="122">
        <f t="shared" si="27"/>
        <v>1</v>
      </c>
      <c r="AI42" s="111">
        <f t="shared" si="27"/>
        <v>600</v>
      </c>
      <c r="AJ42" s="147">
        <f t="shared" si="28"/>
        <v>300</v>
      </c>
      <c r="AK42" s="146">
        <f t="shared" si="29"/>
        <v>300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5" ht="14" customHeight="1">
      <c r="A43" s="74" t="str">
        <f>IF(Poor!A43=0,"",Poor!A43)</f>
        <v>Agricultural cash income -- see Data2</v>
      </c>
      <c r="B43" s="217">
        <f>IF([1]Summ!C1078="",0,[1]Summ!C1078)</f>
        <v>1510</v>
      </c>
      <c r="C43" s="217">
        <f>IF([1]Summ!D1078="",0,[1]Summ!D1078)</f>
        <v>302</v>
      </c>
      <c r="D43" s="38">
        <f t="shared" si="17"/>
        <v>1812</v>
      </c>
      <c r="E43" s="75">
        <f>Poor!E43</f>
        <v>0.87</v>
      </c>
      <c r="F43" s="75">
        <f>Poor!F43</f>
        <v>1.1100000000000001</v>
      </c>
      <c r="G43" s="22">
        <f t="shared" si="25"/>
        <v>1.1200000000000001</v>
      </c>
      <c r="H43" s="24">
        <f t="shared" si="18"/>
        <v>0.96570000000000011</v>
      </c>
      <c r="I43" s="39">
        <f t="shared" si="19"/>
        <v>1749.8484000000003</v>
      </c>
      <c r="J43" s="38">
        <f t="shared" si="20"/>
        <v>1749.8484000000001</v>
      </c>
      <c r="K43" s="40">
        <f t="shared" si="21"/>
        <v>4.4785980136294083E-2</v>
      </c>
      <c r="L43" s="22">
        <f t="shared" si="22"/>
        <v>4.3249821017619199E-2</v>
      </c>
      <c r="M43" s="24">
        <f t="shared" si="23"/>
        <v>5.1899785221143038E-2</v>
      </c>
      <c r="N43" s="2"/>
      <c r="O43" s="2"/>
      <c r="P43" s="2"/>
      <c r="Q43" s="2"/>
      <c r="R43" s="2"/>
      <c r="S43" s="2"/>
      <c r="T43" s="2"/>
      <c r="U43" s="56"/>
      <c r="V43" s="56"/>
      <c r="W43" s="109"/>
      <c r="X43" s="117"/>
      <c r="Y43" s="109"/>
      <c r="Z43" s="155">
        <f>Poor!Z43</f>
        <v>0.25</v>
      </c>
      <c r="AA43" s="146">
        <f t="shared" si="30"/>
        <v>437.46210000000002</v>
      </c>
      <c r="AB43" s="155">
        <f>Poor!AB43</f>
        <v>0.25</v>
      </c>
      <c r="AC43" s="146">
        <f t="shared" si="31"/>
        <v>437.46210000000002</v>
      </c>
      <c r="AD43" s="155">
        <f>Poor!AD43</f>
        <v>0.25</v>
      </c>
      <c r="AE43" s="146">
        <f t="shared" si="32"/>
        <v>437.46210000000002</v>
      </c>
      <c r="AF43" s="121">
        <f t="shared" si="24"/>
        <v>0.25</v>
      </c>
      <c r="AG43" s="146">
        <f t="shared" si="26"/>
        <v>437.46210000000002</v>
      </c>
      <c r="AH43" s="122">
        <f t="shared" si="27"/>
        <v>1</v>
      </c>
      <c r="AI43" s="111">
        <f t="shared" si="27"/>
        <v>1749.8484000000001</v>
      </c>
      <c r="AJ43" s="147">
        <f t="shared" si="28"/>
        <v>874.92420000000004</v>
      </c>
      <c r="AK43" s="146">
        <f t="shared" si="29"/>
        <v>874.92420000000004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5" ht="14" customHeight="1">
      <c r="A44" s="74" t="str">
        <f>IF(Poor!A44=0,"",Poor!A44)</f>
        <v>Domestic work cash income -- see Data2</v>
      </c>
      <c r="B44" s="217">
        <f>IF([1]Summ!C1079="",0,[1]Summ!C1079)</f>
        <v>4500</v>
      </c>
      <c r="C44" s="217">
        <f>IF([1]Summ!D1079="",0,[1]Summ!D1079)</f>
        <v>900</v>
      </c>
      <c r="D44" s="38">
        <f t="shared" si="17"/>
        <v>5400</v>
      </c>
      <c r="E44" s="75">
        <f>Poor!E44</f>
        <v>1</v>
      </c>
      <c r="F44" s="75">
        <f>Poor!F44</f>
        <v>1.1000000000000001</v>
      </c>
      <c r="G44" s="22">
        <f t="shared" si="25"/>
        <v>1.1200000000000001</v>
      </c>
      <c r="H44" s="24">
        <f t="shared" si="18"/>
        <v>1.1000000000000001</v>
      </c>
      <c r="I44" s="39">
        <f t="shared" si="19"/>
        <v>5940.0000000000009</v>
      </c>
      <c r="J44" s="38">
        <f t="shared" si="20"/>
        <v>4802.6199484184162</v>
      </c>
      <c r="K44" s="40">
        <f t="shared" si="21"/>
        <v>0.13346815272405521</v>
      </c>
      <c r="L44" s="22">
        <f t="shared" si="22"/>
        <v>0.14681496799646074</v>
      </c>
      <c r="M44" s="24">
        <f t="shared" si="23"/>
        <v>0.14244373616691186</v>
      </c>
      <c r="N44" s="2"/>
      <c r="O44" s="2"/>
      <c r="P44" s="2"/>
      <c r="Q44" s="2"/>
      <c r="R44" s="221"/>
      <c r="S44" s="68"/>
      <c r="T44" s="2"/>
      <c r="U44" s="56"/>
      <c r="V44" s="56"/>
      <c r="W44" s="109"/>
      <c r="X44" s="117"/>
      <c r="Y44" s="109"/>
      <c r="Z44" s="155">
        <f>Poor!Z44</f>
        <v>0.25</v>
      </c>
      <c r="AA44" s="146">
        <f t="shared" si="30"/>
        <v>1200.6549871046041</v>
      </c>
      <c r="AB44" s="155">
        <f>Poor!AB44</f>
        <v>0.25</v>
      </c>
      <c r="AC44" s="146">
        <f t="shared" si="31"/>
        <v>1200.6549871046041</v>
      </c>
      <c r="AD44" s="155">
        <f>Poor!AD44</f>
        <v>0.25</v>
      </c>
      <c r="AE44" s="146">
        <f t="shared" si="32"/>
        <v>1200.6549871046041</v>
      </c>
      <c r="AF44" s="121">
        <f t="shared" si="24"/>
        <v>0.25</v>
      </c>
      <c r="AG44" s="146">
        <f t="shared" si="26"/>
        <v>1200.6549871046041</v>
      </c>
      <c r="AH44" s="122">
        <f t="shared" si="27"/>
        <v>1</v>
      </c>
      <c r="AI44" s="111">
        <f t="shared" si="27"/>
        <v>4802.6199484184162</v>
      </c>
      <c r="AJ44" s="147">
        <f t="shared" si="28"/>
        <v>2401.3099742092081</v>
      </c>
      <c r="AK44" s="146">
        <f t="shared" si="29"/>
        <v>2401.3099742092081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5" ht="14" customHeight="1">
      <c r="A45" s="74" t="str">
        <f>IF(Poor!A45=0,"",Poor!A45)</f>
        <v>Formal Employment (conservancies, etc.)</v>
      </c>
      <c r="B45" s="217">
        <f>IF([1]Summ!C1080="",0,[1]Summ!C1080)</f>
        <v>0</v>
      </c>
      <c r="C45" s="217">
        <f>IF([1]Summ!D1080="",0,[1]Summ!D1080)</f>
        <v>0</v>
      </c>
      <c r="D45" s="38">
        <f t="shared" si="17"/>
        <v>0</v>
      </c>
      <c r="E45" s="75">
        <f>Poor!E45</f>
        <v>1</v>
      </c>
      <c r="F45" s="75">
        <f>Poor!F45</f>
        <v>1.07</v>
      </c>
      <c r="G45" s="22">
        <f t="shared" si="25"/>
        <v>1.1200000000000001</v>
      </c>
      <c r="H45" s="24">
        <f t="shared" si="18"/>
        <v>1.07</v>
      </c>
      <c r="I45" s="39">
        <f t="shared" si="19"/>
        <v>0</v>
      </c>
      <c r="J45" s="38">
        <f t="shared" si="20"/>
        <v>0</v>
      </c>
      <c r="K45" s="40">
        <f t="shared" si="21"/>
        <v>0</v>
      </c>
      <c r="L45" s="22">
        <f t="shared" si="22"/>
        <v>0</v>
      </c>
      <c r="M45" s="24">
        <f t="shared" si="23"/>
        <v>0</v>
      </c>
      <c r="N45" s="2"/>
      <c r="O45" s="2"/>
      <c r="P45" s="2"/>
      <c r="Q45" s="2"/>
      <c r="R45" s="221"/>
      <c r="S45" s="68"/>
      <c r="T45" s="2"/>
      <c r="U45" s="56"/>
      <c r="V45" s="56"/>
      <c r="W45" s="109"/>
      <c r="X45" s="117"/>
      <c r="Y45" s="109"/>
      <c r="Z45" s="155">
        <f>Poor!Z45</f>
        <v>0.25</v>
      </c>
      <c r="AA45" s="146">
        <f t="shared" si="30"/>
        <v>0</v>
      </c>
      <c r="AB45" s="155">
        <f>Poor!AB45</f>
        <v>0.25</v>
      </c>
      <c r="AC45" s="146">
        <f t="shared" si="31"/>
        <v>0</v>
      </c>
      <c r="AD45" s="155">
        <f>Poor!AD45</f>
        <v>0.25</v>
      </c>
      <c r="AE45" s="146">
        <f t="shared" si="32"/>
        <v>0</v>
      </c>
      <c r="AF45" s="121">
        <f t="shared" si="24"/>
        <v>0.25</v>
      </c>
      <c r="AG45" s="146">
        <f t="shared" si="26"/>
        <v>0</v>
      </c>
      <c r="AH45" s="122">
        <f t="shared" si="27"/>
        <v>1</v>
      </c>
      <c r="AI45" s="111">
        <f t="shared" si="27"/>
        <v>0</v>
      </c>
      <c r="AJ45" s="147">
        <f t="shared" si="28"/>
        <v>0</v>
      </c>
      <c r="AK45" s="146">
        <f t="shared" si="2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5" ht="14" customHeight="1">
      <c r="A46" s="74" t="str">
        <f>IF(Poor!A46=0,"",Poor!A46)</f>
        <v>Self-employment -- see Data2</v>
      </c>
      <c r="B46" s="217">
        <f>IF([1]Summ!C1081="",0,[1]Summ!C1081)</f>
        <v>3600</v>
      </c>
      <c r="C46" s="217">
        <f>IF([1]Summ!D1081="",0,[1]Summ!D1081)</f>
        <v>720</v>
      </c>
      <c r="D46" s="38">
        <f t="shared" si="17"/>
        <v>4320</v>
      </c>
      <c r="E46" s="75">
        <f>Poor!E46</f>
        <v>1</v>
      </c>
      <c r="F46" s="75">
        <f>Poor!F46</f>
        <v>1.1000000000000001</v>
      </c>
      <c r="G46" s="22">
        <f t="shared" si="25"/>
        <v>1.1200000000000001</v>
      </c>
      <c r="H46" s="24">
        <f t="shared" si="18"/>
        <v>1.1000000000000001</v>
      </c>
      <c r="I46" s="39">
        <f t="shared" si="19"/>
        <v>4752</v>
      </c>
      <c r="J46" s="38">
        <f t="shared" si="20"/>
        <v>3842.0959587347329</v>
      </c>
      <c r="K46" s="40">
        <f t="shared" si="21"/>
        <v>0.10677452217924417</v>
      </c>
      <c r="L46" s="22">
        <f t="shared" si="22"/>
        <v>0.1174519743971686</v>
      </c>
      <c r="M46" s="24">
        <f t="shared" si="23"/>
        <v>0.11395498893352948</v>
      </c>
      <c r="N46" s="2"/>
      <c r="O46" s="2"/>
      <c r="P46" s="2"/>
      <c r="Q46" s="2"/>
      <c r="R46" s="221"/>
      <c r="S46" s="2"/>
      <c r="T46" s="2"/>
      <c r="U46" s="56"/>
      <c r="V46" s="56"/>
      <c r="W46" s="109"/>
      <c r="X46" s="117"/>
      <c r="Y46" s="109"/>
      <c r="Z46" s="155">
        <f>Poor!Z46</f>
        <v>0.25</v>
      </c>
      <c r="AA46" s="146">
        <f t="shared" si="30"/>
        <v>960.52398968368323</v>
      </c>
      <c r="AB46" s="155">
        <f>Poor!AB46</f>
        <v>0.25</v>
      </c>
      <c r="AC46" s="146">
        <f t="shared" si="31"/>
        <v>960.52398968368323</v>
      </c>
      <c r="AD46" s="155">
        <f>Poor!AD46</f>
        <v>0.25</v>
      </c>
      <c r="AE46" s="146">
        <f t="shared" si="32"/>
        <v>960.52398968368323</v>
      </c>
      <c r="AF46" s="121">
        <f t="shared" si="24"/>
        <v>0.25</v>
      </c>
      <c r="AG46" s="146">
        <f t="shared" si="26"/>
        <v>960.52398968368323</v>
      </c>
      <c r="AH46" s="122">
        <f t="shared" ref="AH46:AI51" si="34">SUM(Z46,AB46,AD46,AF46)</f>
        <v>1</v>
      </c>
      <c r="AI46" s="111">
        <f t="shared" si="34"/>
        <v>3842.0959587347329</v>
      </c>
      <c r="AJ46" s="147">
        <f t="shared" si="28"/>
        <v>1921.0479793673665</v>
      </c>
      <c r="AK46" s="146">
        <f t="shared" si="29"/>
        <v>1921.0479793673665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5" ht="14" customHeight="1">
      <c r="A47" s="74" t="str">
        <f>IF(Poor!A47=0,"",Poor!A47)</f>
        <v>Small business -- see Data2</v>
      </c>
      <c r="B47" s="217">
        <f>IF([1]Summ!C1082="",0,[1]Summ!C1082)</f>
        <v>0</v>
      </c>
      <c r="C47" s="217">
        <f>IF([1]Summ!D1082="",0,[1]Summ!D1082)</f>
        <v>0</v>
      </c>
      <c r="D47" s="38">
        <f t="shared" si="17"/>
        <v>0</v>
      </c>
      <c r="E47" s="75">
        <f>Poor!E47</f>
        <v>1</v>
      </c>
      <c r="F47" s="75">
        <f>Poor!F47</f>
        <v>1.05</v>
      </c>
      <c r="G47" s="22">
        <f t="shared" si="25"/>
        <v>1.1200000000000001</v>
      </c>
      <c r="H47" s="24">
        <f t="shared" si="18"/>
        <v>1.05</v>
      </c>
      <c r="I47" s="39">
        <f t="shared" si="19"/>
        <v>0</v>
      </c>
      <c r="J47" s="38">
        <f t="shared" si="20"/>
        <v>0</v>
      </c>
      <c r="K47" s="40">
        <f t="shared" si="21"/>
        <v>0</v>
      </c>
      <c r="L47" s="22">
        <f t="shared" si="22"/>
        <v>0</v>
      </c>
      <c r="M47" s="24">
        <f t="shared" si="23"/>
        <v>0</v>
      </c>
      <c r="N47" s="2"/>
      <c r="O47" s="2"/>
      <c r="P47" s="2"/>
      <c r="Q47" s="2"/>
      <c r="R47" s="22"/>
      <c r="S47" s="2"/>
      <c r="T47" s="2"/>
      <c r="U47" s="56"/>
      <c r="V47" s="56"/>
      <c r="W47" s="109"/>
      <c r="X47" s="117"/>
      <c r="Y47" s="109"/>
      <c r="Z47" s="155">
        <f>Poor!Z47</f>
        <v>0.25</v>
      </c>
      <c r="AA47" s="146">
        <f t="shared" si="30"/>
        <v>0</v>
      </c>
      <c r="AB47" s="155">
        <f>Poor!AB47</f>
        <v>0.25</v>
      </c>
      <c r="AC47" s="146">
        <f t="shared" si="31"/>
        <v>0</v>
      </c>
      <c r="AD47" s="155">
        <f>Poor!AD47</f>
        <v>0.25</v>
      </c>
      <c r="AE47" s="146">
        <f t="shared" si="32"/>
        <v>0</v>
      </c>
      <c r="AF47" s="121">
        <f t="shared" si="24"/>
        <v>0.25</v>
      </c>
      <c r="AG47" s="146">
        <f t="shared" si="26"/>
        <v>0</v>
      </c>
      <c r="AH47" s="122">
        <f t="shared" si="34"/>
        <v>1</v>
      </c>
      <c r="AI47" s="111">
        <f t="shared" si="34"/>
        <v>0</v>
      </c>
      <c r="AJ47" s="147">
        <f t="shared" si="28"/>
        <v>0</v>
      </c>
      <c r="AK47" s="146">
        <f t="shared" si="2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5" ht="14" customHeight="1">
      <c r="A48" s="74" t="str">
        <f>IF(Poor!A48=0,"",Poor!A48)</f>
        <v>Social Cash Transfers -- see Data2</v>
      </c>
      <c r="B48" s="217">
        <f>IF([1]Summ!C1083="",0,[1]Summ!C1083)</f>
        <v>19980.908313376669</v>
      </c>
      <c r="C48" s="217">
        <f>IF([1]Summ!D1083="",0,[1]Summ!D1083)</f>
        <v>0</v>
      </c>
      <c r="D48" s="38">
        <f t="shared" si="17"/>
        <v>19980.908313376669</v>
      </c>
      <c r="E48" s="75">
        <f>Poor!E48</f>
        <v>1</v>
      </c>
      <c r="F48" s="75">
        <f>Poor!F48</f>
        <v>1.1100000000000001</v>
      </c>
      <c r="G48" s="22">
        <f t="shared" si="25"/>
        <v>1.1200000000000001</v>
      </c>
      <c r="H48" s="24">
        <f t="shared" si="18"/>
        <v>1.1100000000000001</v>
      </c>
      <c r="I48" s="39">
        <f t="shared" si="19"/>
        <v>22178.808227848105</v>
      </c>
      <c r="J48" s="38">
        <f t="shared" si="20"/>
        <v>22178.808227848109</v>
      </c>
      <c r="K48" s="40">
        <f t="shared" si="21"/>
        <v>0.59262553829668929</v>
      </c>
      <c r="L48" s="22">
        <f t="shared" si="22"/>
        <v>0.65781434750932521</v>
      </c>
      <c r="M48" s="24">
        <f t="shared" si="23"/>
        <v>0.65781434750932521</v>
      </c>
      <c r="N48" s="2"/>
      <c r="O48" s="2"/>
      <c r="P48" s="2"/>
      <c r="Q48" s="2"/>
      <c r="R48" s="175"/>
      <c r="S48" s="68"/>
      <c r="T48" s="2"/>
      <c r="U48" s="56"/>
      <c r="V48" s="56"/>
      <c r="W48" s="109"/>
      <c r="X48" s="117"/>
      <c r="Y48" s="109"/>
      <c r="Z48" s="155">
        <f>Poor!Z48</f>
        <v>0.25</v>
      </c>
      <c r="AA48" s="146">
        <f t="shared" si="30"/>
        <v>5544.7020569620272</v>
      </c>
      <c r="AB48" s="155">
        <f>Poor!AB48</f>
        <v>0.25</v>
      </c>
      <c r="AC48" s="146">
        <f t="shared" si="31"/>
        <v>5544.7020569620272</v>
      </c>
      <c r="AD48" s="155">
        <f>Poor!AD48</f>
        <v>0.25</v>
      </c>
      <c r="AE48" s="146">
        <f t="shared" si="32"/>
        <v>5544.7020569620272</v>
      </c>
      <c r="AF48" s="121">
        <f t="shared" si="24"/>
        <v>0.25</v>
      </c>
      <c r="AG48" s="146">
        <f t="shared" si="26"/>
        <v>5544.7020569620272</v>
      </c>
      <c r="AH48" s="122">
        <f t="shared" si="34"/>
        <v>1</v>
      </c>
      <c r="AI48" s="111">
        <f t="shared" si="34"/>
        <v>22178.808227848109</v>
      </c>
      <c r="AJ48" s="147">
        <f t="shared" si="28"/>
        <v>11089.404113924054</v>
      </c>
      <c r="AK48" s="146">
        <f t="shared" si="29"/>
        <v>11089.404113924054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Public works -- see Data2</v>
      </c>
      <c r="B49" s="217">
        <f>IF([1]Summ!C1084="",0,[1]Summ!C1084)</f>
        <v>0</v>
      </c>
      <c r="C49" s="217">
        <f>IF([1]Summ!D1084="",0,[1]Summ!D1084)</f>
        <v>0</v>
      </c>
      <c r="D49" s="38">
        <f t="shared" si="17"/>
        <v>0</v>
      </c>
      <c r="E49" s="75">
        <f>Poor!E49</f>
        <v>1</v>
      </c>
      <c r="F49" s="75">
        <f>Poor!F49</f>
        <v>1.07</v>
      </c>
      <c r="G49" s="22">
        <f t="shared" si="25"/>
        <v>1.1200000000000001</v>
      </c>
      <c r="H49" s="24">
        <f t="shared" si="18"/>
        <v>1.07</v>
      </c>
      <c r="I49" s="39">
        <f t="shared" si="19"/>
        <v>0</v>
      </c>
      <c r="J49" s="38">
        <f t="shared" si="20"/>
        <v>0</v>
      </c>
      <c r="K49" s="40">
        <f t="shared" si="21"/>
        <v>0</v>
      </c>
      <c r="L49" s="22">
        <f t="shared" si="22"/>
        <v>0</v>
      </c>
      <c r="M49" s="24">
        <f t="shared" si="23"/>
        <v>0</v>
      </c>
      <c r="N49" s="2"/>
      <c r="O49" s="2"/>
      <c r="P49" s="2"/>
      <c r="Q49" s="2"/>
      <c r="R49" s="222"/>
      <c r="S49" s="2"/>
      <c r="T49" s="2"/>
      <c r="U49" s="56"/>
      <c r="V49" s="56"/>
      <c r="W49" s="109"/>
      <c r="X49" s="117"/>
      <c r="Y49" s="109"/>
      <c r="Z49" s="155">
        <f>Poor!Z49</f>
        <v>0.25</v>
      </c>
      <c r="AA49" s="146">
        <f t="shared" si="30"/>
        <v>0</v>
      </c>
      <c r="AB49" s="155">
        <f>Poor!AB49</f>
        <v>0.25</v>
      </c>
      <c r="AC49" s="146">
        <f t="shared" si="31"/>
        <v>0</v>
      </c>
      <c r="AD49" s="155">
        <f>Poor!AD49</f>
        <v>0.25</v>
      </c>
      <c r="AE49" s="146">
        <f t="shared" si="32"/>
        <v>0</v>
      </c>
      <c r="AF49" s="121">
        <f t="shared" si="24"/>
        <v>0.25</v>
      </c>
      <c r="AG49" s="146">
        <f t="shared" si="26"/>
        <v>0</v>
      </c>
      <c r="AH49" s="122">
        <f t="shared" si="34"/>
        <v>1</v>
      </c>
      <c r="AI49" s="111">
        <f t="shared" si="34"/>
        <v>0</v>
      </c>
      <c r="AJ49" s="147">
        <f t="shared" si="28"/>
        <v>0</v>
      </c>
      <c r="AK49" s="146">
        <f t="shared" si="2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income: e.g. Credit (cotton loans)</v>
      </c>
      <c r="B50" s="217">
        <f>IF([1]Summ!C1085="",0,[1]Summ!C1085)</f>
        <v>450</v>
      </c>
      <c r="C50" s="217">
        <f>IF([1]Summ!D1085="",0,[1]Summ!D1085)</f>
        <v>0</v>
      </c>
      <c r="D50" s="38">
        <f t="shared" si="17"/>
        <v>450</v>
      </c>
      <c r="E50" s="75">
        <f>Poor!E50</f>
        <v>1</v>
      </c>
      <c r="F50" s="75">
        <f>Poor!F50</f>
        <v>1</v>
      </c>
      <c r="G50" s="22">
        <f t="shared" si="25"/>
        <v>1.1200000000000001</v>
      </c>
      <c r="H50" s="24">
        <f t="shared" si="18"/>
        <v>1</v>
      </c>
      <c r="I50" s="39">
        <f t="shared" si="19"/>
        <v>450</v>
      </c>
      <c r="J50" s="38">
        <f t="shared" si="20"/>
        <v>450</v>
      </c>
      <c r="K50" s="40">
        <f t="shared" si="21"/>
        <v>1.3346815272405521E-2</v>
      </c>
      <c r="L50" s="22">
        <f t="shared" si="22"/>
        <v>1.3346815272405521E-2</v>
      </c>
      <c r="M50" s="24">
        <f t="shared" si="23"/>
        <v>1.3346815272405521E-2</v>
      </c>
      <c r="N50" s="2"/>
      <c r="O50" s="2"/>
      <c r="P50" s="2"/>
      <c r="Q50" s="2"/>
      <c r="R50" s="2"/>
      <c r="S50" s="2"/>
      <c r="T50" s="2"/>
      <c r="U50" s="56"/>
      <c r="V50" s="56"/>
      <c r="W50" s="109"/>
      <c r="X50" s="117"/>
      <c r="Y50" s="109"/>
      <c r="Z50" s="155">
        <f>Poor!Z50</f>
        <v>0.25</v>
      </c>
      <c r="AA50" s="146">
        <f t="shared" si="30"/>
        <v>112.5</v>
      </c>
      <c r="AB50" s="155">
        <f>Poor!AB50</f>
        <v>0.25</v>
      </c>
      <c r="AC50" s="146">
        <f t="shared" si="31"/>
        <v>112.5</v>
      </c>
      <c r="AD50" s="155">
        <f>Poor!AD50</f>
        <v>0.25</v>
      </c>
      <c r="AE50" s="146">
        <f t="shared" si="32"/>
        <v>112.5</v>
      </c>
      <c r="AF50" s="121">
        <f t="shared" si="24"/>
        <v>0.25</v>
      </c>
      <c r="AG50" s="146">
        <f t="shared" si="26"/>
        <v>112.5</v>
      </c>
      <c r="AH50" s="122">
        <f t="shared" si="34"/>
        <v>1</v>
      </c>
      <c r="AI50" s="111">
        <f t="shared" si="34"/>
        <v>450</v>
      </c>
      <c r="AJ50" s="147">
        <f t="shared" si="28"/>
        <v>225</v>
      </c>
      <c r="AK50" s="146">
        <f t="shared" si="29"/>
        <v>225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Remittances: no. times per year</v>
      </c>
      <c r="B51" s="217">
        <f>IF([1]Summ!C1086="",0,[1]Summ!C1086)</f>
        <v>2400</v>
      </c>
      <c r="C51" s="217">
        <f>IF([1]Summ!D1086="",0,[1]Summ!D1086)</f>
        <v>0</v>
      </c>
      <c r="D51" s="38">
        <f t="shared" si="17"/>
        <v>2400</v>
      </c>
      <c r="E51" s="75">
        <f>Poor!E51</f>
        <v>1</v>
      </c>
      <c r="F51" s="75">
        <f>Poor!F51</f>
        <v>1.05</v>
      </c>
      <c r="G51" s="22">
        <f t="shared" si="25"/>
        <v>1.1200000000000001</v>
      </c>
      <c r="H51" s="24">
        <f t="shared" si="18"/>
        <v>1.05</v>
      </c>
      <c r="I51" s="39">
        <f t="shared" si="19"/>
        <v>2520</v>
      </c>
      <c r="J51" s="38">
        <f t="shared" si="20"/>
        <v>2520.0000000000005</v>
      </c>
      <c r="K51" s="40">
        <f t="shared" si="21"/>
        <v>7.1183014786162777E-2</v>
      </c>
      <c r="L51" s="22">
        <f t="shared" si="22"/>
        <v>7.4742165525470916E-2</v>
      </c>
      <c r="M51" s="24">
        <f t="shared" si="23"/>
        <v>7.474216552547093E-2</v>
      </c>
      <c r="N51" s="2"/>
      <c r="O51" s="2"/>
      <c r="P51" s="2"/>
      <c r="Q51" s="2"/>
      <c r="R51" s="2"/>
      <c r="S51" s="2"/>
      <c r="T51" s="2"/>
      <c r="U51" s="56"/>
      <c r="V51" s="56"/>
      <c r="W51" s="109"/>
      <c r="X51" s="117"/>
      <c r="Y51" s="109"/>
      <c r="Z51" s="155">
        <f>Poor!Z51</f>
        <v>0.25</v>
      </c>
      <c r="AA51" s="148">
        <f t="shared" si="30"/>
        <v>630.00000000000011</v>
      </c>
      <c r="AB51" s="155">
        <f>Poor!AB51</f>
        <v>0.25</v>
      </c>
      <c r="AC51" s="148">
        <f t="shared" si="31"/>
        <v>630.00000000000011</v>
      </c>
      <c r="AD51" s="155">
        <f>Poor!AD51</f>
        <v>0.25</v>
      </c>
      <c r="AE51" s="148">
        <f t="shared" si="32"/>
        <v>630.00000000000011</v>
      </c>
      <c r="AF51" s="149">
        <f t="shared" si="24"/>
        <v>0.25</v>
      </c>
      <c r="AG51" s="148">
        <f t="shared" si="26"/>
        <v>630.00000000000011</v>
      </c>
      <c r="AH51" s="122">
        <f t="shared" si="34"/>
        <v>1</v>
      </c>
      <c r="AI51" s="111">
        <f t="shared" si="34"/>
        <v>2520.0000000000005</v>
      </c>
      <c r="AJ51" s="150">
        <f t="shared" si="28"/>
        <v>1260.0000000000002</v>
      </c>
      <c r="AK51" s="148">
        <f t="shared" si="29"/>
        <v>1260.0000000000002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39" t="s">
        <v>33</v>
      </c>
      <c r="B52" s="39">
        <f>SUM(B29:B51)</f>
        <v>33715.908313376669</v>
      </c>
      <c r="C52" s="39">
        <f>SUM(C29:C51)</f>
        <v>2032</v>
      </c>
      <c r="D52" s="42">
        <f>SUM(D29:D51)</f>
        <v>35747.908313376669</v>
      </c>
      <c r="E52" s="32"/>
      <c r="F52" s="32"/>
      <c r="G52" s="32"/>
      <c r="H52" s="31"/>
      <c r="I52" s="39">
        <f>SUM(I29:I51)</f>
        <v>38852.806627848106</v>
      </c>
      <c r="J52" s="39">
        <f>SUM(J29:J51)</f>
        <v>36805.522535001262</v>
      </c>
      <c r="K52" s="40">
        <f>SUM(K29:K51)</f>
        <v>1</v>
      </c>
      <c r="L52" s="22">
        <f>SUM(L29:L51)</f>
        <v>1.0882448987231055</v>
      </c>
      <c r="M52" s="24">
        <f>SUM(M29:M51)</f>
        <v>1.091636689508934</v>
      </c>
      <c r="N52" s="2"/>
      <c r="O52" s="2"/>
      <c r="P52" s="2"/>
      <c r="Q52" s="2"/>
      <c r="R52" s="2"/>
      <c r="S52" s="2"/>
      <c r="T52" s="2"/>
      <c r="U52" s="56"/>
      <c r="V52" s="56"/>
      <c r="W52" s="109"/>
      <c r="X52" s="151"/>
      <c r="Y52" s="109"/>
      <c r="Z52" s="136"/>
      <c r="AA52" s="152">
        <f>SUM(AA29:AA51)</f>
        <v>9106.1346158135202</v>
      </c>
      <c r="AB52" s="136"/>
      <c r="AC52" s="152">
        <f>SUM(AC29:AC51)</f>
        <v>9106.1346158135202</v>
      </c>
      <c r="AD52" s="136"/>
      <c r="AE52" s="152">
        <f>SUM(AE29:AE51)</f>
        <v>9042.4101696239049</v>
      </c>
      <c r="AF52" s="136"/>
      <c r="AG52" s="152">
        <f>SUM(AG29:AG51)</f>
        <v>9550.8431337503152</v>
      </c>
      <c r="AH52" s="136"/>
      <c r="AI52" s="152">
        <f>SUM(AI29:AI51)</f>
        <v>36805.522535001262</v>
      </c>
      <c r="AJ52" s="152">
        <f>SUM(AJ29:AJ51)</f>
        <v>18212.26923162704</v>
      </c>
      <c r="AK52" s="152">
        <f>SUM(AK29:AK51)</f>
        <v>18593.253303374218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3.5" customHeight="1">
      <c r="A53" s="78"/>
      <c r="B53" s="78"/>
      <c r="C53" s="78"/>
      <c r="D53" s="44"/>
      <c r="E53" s="14"/>
      <c r="F53" s="14"/>
      <c r="G53" s="14"/>
      <c r="H53" s="44"/>
      <c r="I53" s="14"/>
      <c r="J53" s="44"/>
      <c r="K53" s="45"/>
      <c r="L53" s="11"/>
      <c r="M53" s="10"/>
      <c r="N53" s="2"/>
      <c r="O53" s="2"/>
      <c r="P53" s="2"/>
      <c r="Q53" s="2"/>
      <c r="R53" s="2"/>
      <c r="S53" s="2"/>
      <c r="T53" s="2"/>
      <c r="U53" s="56"/>
      <c r="V53" s="56"/>
      <c r="W53" s="109"/>
      <c r="X53" s="117"/>
      <c r="Y53" s="109"/>
      <c r="Z53" s="142"/>
      <c r="AA53" s="153"/>
      <c r="AB53" s="142"/>
      <c r="AC53" s="153"/>
      <c r="AD53" s="142"/>
      <c r="AE53" s="153"/>
      <c r="AF53" s="142"/>
      <c r="AG53" s="153"/>
      <c r="AH53" s="142"/>
      <c r="AI53" s="153"/>
      <c r="AJ53" s="142"/>
      <c r="AK53" s="143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5.75" customHeight="1">
      <c r="A54" s="73" t="s">
        <v>56</v>
      </c>
      <c r="B54" s="39"/>
      <c r="C54" s="39"/>
      <c r="D54" s="38"/>
      <c r="E54" s="32"/>
      <c r="F54" s="32"/>
      <c r="G54" s="32"/>
      <c r="H54" s="31"/>
      <c r="I54" s="47"/>
      <c r="J54" s="48"/>
      <c r="K54" s="34" t="s">
        <v>35</v>
      </c>
      <c r="L54" s="2"/>
      <c r="M54" s="31"/>
      <c r="N54" s="2"/>
      <c r="O54" s="2"/>
      <c r="P54" s="2"/>
      <c r="Q54" s="2"/>
      <c r="R54" s="2"/>
      <c r="S54" s="2"/>
      <c r="T54" s="2"/>
      <c r="U54" s="56"/>
      <c r="V54" s="56"/>
      <c r="W54" s="109"/>
      <c r="X54" s="117"/>
      <c r="Y54" s="109"/>
      <c r="Z54" s="144"/>
      <c r="AA54" s="146"/>
      <c r="AB54" s="144"/>
      <c r="AC54" s="146"/>
      <c r="AD54" s="144"/>
      <c r="AE54" s="146"/>
      <c r="AF54" s="144"/>
      <c r="AG54" s="146"/>
      <c r="AH54" s="144"/>
      <c r="AI54" s="146"/>
      <c r="AJ54" s="144"/>
      <c r="AK54" s="145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9"/>
      <c r="B55" s="80" t="s">
        <v>7</v>
      </c>
      <c r="C55" s="39"/>
      <c r="D55" s="50"/>
      <c r="E55" s="19" t="s">
        <v>10</v>
      </c>
      <c r="F55" s="2" t="s">
        <v>29</v>
      </c>
      <c r="G55" s="2"/>
      <c r="H55" s="16" t="s">
        <v>12</v>
      </c>
      <c r="I55" s="19" t="s">
        <v>13</v>
      </c>
      <c r="J55" s="16" t="s">
        <v>14</v>
      </c>
      <c r="K55" s="37" t="s">
        <v>7</v>
      </c>
      <c r="L55" s="19" t="s">
        <v>15</v>
      </c>
      <c r="M55" s="16" t="s">
        <v>14</v>
      </c>
      <c r="N55" s="2"/>
      <c r="O55" s="2"/>
      <c r="P55" s="2"/>
      <c r="Q55" s="2"/>
      <c r="R55" s="2"/>
      <c r="S55" s="2"/>
      <c r="T55" s="2"/>
      <c r="U55" s="56"/>
      <c r="V55" s="56"/>
      <c r="W55" s="111"/>
      <c r="X55" s="117"/>
      <c r="Y55" s="109"/>
      <c r="Z55" s="144"/>
      <c r="AA55" s="146"/>
      <c r="AB55" s="144"/>
      <c r="AC55" s="146"/>
      <c r="AD55" s="144"/>
      <c r="AE55" s="146"/>
      <c r="AF55" s="144"/>
      <c r="AG55" s="146"/>
      <c r="AH55" s="144"/>
      <c r="AI55" s="146"/>
      <c r="AJ55" s="144"/>
      <c r="AK55" s="145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39" t="s">
        <v>31</v>
      </c>
      <c r="B56" s="80" t="s">
        <v>36</v>
      </c>
      <c r="C56" s="39"/>
      <c r="D56" s="38"/>
      <c r="E56" s="19" t="s">
        <v>18</v>
      </c>
      <c r="F56" s="2" t="s">
        <v>32</v>
      </c>
      <c r="G56" s="2"/>
      <c r="H56" s="16" t="s">
        <v>18</v>
      </c>
      <c r="I56" s="19" t="s">
        <v>36</v>
      </c>
      <c r="J56" s="16" t="s">
        <v>36</v>
      </c>
      <c r="K56" s="37" t="s">
        <v>36</v>
      </c>
      <c r="L56" s="19" t="s">
        <v>20</v>
      </c>
      <c r="M56" s="16" t="s">
        <v>36</v>
      </c>
      <c r="N56" s="2"/>
      <c r="O56" s="2"/>
      <c r="P56" s="2"/>
      <c r="Q56" s="2"/>
      <c r="R56" s="2"/>
      <c r="S56" s="2"/>
      <c r="T56" s="2"/>
      <c r="U56" s="56"/>
      <c r="V56" s="56"/>
      <c r="W56" s="109"/>
      <c r="X56" s="117"/>
      <c r="Y56" s="109"/>
      <c r="Z56" s="144"/>
      <c r="AA56" s="146"/>
      <c r="AB56" s="144"/>
      <c r="AC56" s="146"/>
      <c r="AD56" s="144"/>
      <c r="AE56" s="146"/>
      <c r="AF56" s="144"/>
      <c r="AG56" s="146"/>
      <c r="AH56" s="144"/>
      <c r="AI56" s="146"/>
      <c r="AJ56" s="144"/>
      <c r="AK56" s="145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64" t="s">
        <v>135</v>
      </c>
      <c r="B57" s="103">
        <f>SUM([1]Summ!C1031)</f>
        <v>13477.244998392132</v>
      </c>
      <c r="C57" s="39"/>
      <c r="D57" s="38"/>
      <c r="E57" s="75">
        <f>Poor!E57</f>
        <v>1</v>
      </c>
      <c r="F57" s="75">
        <f>Poor!F57</f>
        <v>1.1399999999999999</v>
      </c>
      <c r="G57" s="22"/>
      <c r="H57" s="24">
        <f>(E57*F57)</f>
        <v>1.1399999999999999</v>
      </c>
      <c r="I57" s="39">
        <f>I106*I$70</f>
        <v>15364.059298167027</v>
      </c>
      <c r="J57" s="51">
        <f t="shared" ref="J57:J58" si="35">J106*I$70</f>
        <v>15364.059298167027</v>
      </c>
      <c r="K57" s="40">
        <f>B57/B$63</f>
        <v>0.39972955416553563</v>
      </c>
      <c r="L57" s="22">
        <f>(L106*G$29*F$9/F$7)/B$112</f>
        <v>0.4556916917487106</v>
      </c>
      <c r="M57" s="24">
        <f>J57/B$63</f>
        <v>0.45569169174871049</v>
      </c>
      <c r="O57" s="2"/>
      <c r="P57" s="2"/>
      <c r="Q57" s="2"/>
      <c r="R57" s="2"/>
      <c r="S57" s="2"/>
      <c r="T57" s="2"/>
      <c r="U57" s="56"/>
      <c r="V57" s="56"/>
      <c r="W57" s="109"/>
      <c r="X57" s="117"/>
      <c r="Y57" s="109"/>
      <c r="Z57" s="155">
        <f>Poor!Z57</f>
        <v>0.25</v>
      </c>
      <c r="AA57" s="146">
        <f>$J57*Z57</f>
        <v>3841.0148245417568</v>
      </c>
      <c r="AB57" s="155">
        <f>Poor!AB57</f>
        <v>0.25</v>
      </c>
      <c r="AC57" s="146">
        <f>$J57*AB57</f>
        <v>3841.0148245417568</v>
      </c>
      <c r="AD57" s="155">
        <f>Poor!AD57</f>
        <v>0.25</v>
      </c>
      <c r="AE57" s="146">
        <f>$J57*AD57</f>
        <v>3841.0148245417568</v>
      </c>
      <c r="AF57" s="155">
        <f>Poor!AF57</f>
        <v>0.25</v>
      </c>
      <c r="AG57" s="146">
        <f>$J57*AF57</f>
        <v>3841.0148245417568</v>
      </c>
      <c r="AH57" s="154">
        <f>SUM(Z57,AB57,AD57,AF57)</f>
        <v>1</v>
      </c>
      <c r="AI57" s="146">
        <f>SUM(AA57,AC57,AE57,AG57)</f>
        <v>15364.059298167027</v>
      </c>
      <c r="AJ57" s="147">
        <f>(AA57+AC57)</f>
        <v>7682.0296490835135</v>
      </c>
      <c r="AK57" s="146">
        <f>(AE57+AG57)</f>
        <v>7682.0296490835135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3.5" customHeight="1">
      <c r="A58" s="64" t="s">
        <v>137</v>
      </c>
      <c r="B58" s="103">
        <f>SUM([1]Summ!C1032)</f>
        <v>11684</v>
      </c>
      <c r="C58" s="39"/>
      <c r="D58" s="38"/>
      <c r="E58" s="75">
        <f>Poor!E58</f>
        <v>1</v>
      </c>
      <c r="F58" s="75">
        <f>Poor!F58</f>
        <v>1.1100000000000001</v>
      </c>
      <c r="G58" s="22"/>
      <c r="H58" s="24">
        <f>(E58*F58)</f>
        <v>1.1100000000000001</v>
      </c>
      <c r="I58" s="39">
        <f>I107*I$70</f>
        <v>12969.240000000003</v>
      </c>
      <c r="J58" s="51">
        <f t="shared" si="35"/>
        <v>12969.240000000003</v>
      </c>
      <c r="K58" s="40">
        <f>B58/B$63</f>
        <v>0.34654264365063581</v>
      </c>
      <c r="L58" s="22">
        <f>(L107*G$29*F$9/F$7)/B$112</f>
        <v>0.38466233445220588</v>
      </c>
      <c r="M58" s="24">
        <f>J58/B$63</f>
        <v>0.38466233445220582</v>
      </c>
      <c r="O58" s="2"/>
      <c r="P58" s="2"/>
      <c r="Q58" s="2"/>
      <c r="R58" s="2"/>
      <c r="S58" s="2"/>
      <c r="T58" s="2"/>
      <c r="U58" s="56"/>
      <c r="V58" s="56"/>
      <c r="W58" s="109"/>
      <c r="X58" s="117"/>
      <c r="Y58" s="109"/>
      <c r="Z58" s="155">
        <f>Poor!Z58</f>
        <v>0.25</v>
      </c>
      <c r="AA58" s="146">
        <f>$H$58*$B$58*Z58</f>
        <v>3242.3100000000004</v>
      </c>
      <c r="AB58" s="155">
        <f>Poor!AB58</f>
        <v>0.25</v>
      </c>
      <c r="AC58" s="146">
        <f>$H$58*$B$58*AB58</f>
        <v>3242.3100000000004</v>
      </c>
      <c r="AD58" s="155">
        <f>Poor!AD58</f>
        <v>0.25</v>
      </c>
      <c r="AE58" s="146">
        <f>$H$58*$B$58*AD58</f>
        <v>3242.3100000000004</v>
      </c>
      <c r="AF58" s="155">
        <f>Poor!AF58</f>
        <v>0.25</v>
      </c>
      <c r="AG58" s="146">
        <f>$H$58*$B$58*AF58</f>
        <v>3242.3100000000004</v>
      </c>
      <c r="AH58" s="154">
        <f>SUM(Z58,AB58,AD58,AF58)</f>
        <v>1</v>
      </c>
      <c r="AI58" s="146">
        <f>SUM(AA58,AC58,AE58,AG58)</f>
        <v>12969.240000000002</v>
      </c>
      <c r="AJ58" s="147">
        <f>(AA58+AC58)</f>
        <v>6484.6200000000008</v>
      </c>
      <c r="AK58" s="146">
        <f>(AE58+AG58)</f>
        <v>6484.6200000000008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3.5" customHeight="1">
      <c r="A59" s="64" t="s">
        <v>138</v>
      </c>
      <c r="B59" s="103">
        <f>SUM([1]Summ!C1033)</f>
        <v>20808</v>
      </c>
      <c r="C59" s="39"/>
      <c r="D59" s="38"/>
      <c r="E59" s="75">
        <f>Poor!E59</f>
        <v>1</v>
      </c>
      <c r="F59" s="75">
        <f>Poor!F59</f>
        <v>1.1100000000000001</v>
      </c>
      <c r="G59" s="22"/>
      <c r="H59" s="24">
        <f t="shared" ref="H59:H60" si="36">(E59*F59)</f>
        <v>1.1100000000000001</v>
      </c>
      <c r="I59" s="39">
        <f t="shared" ref="I59:I60" si="37">I108*I$70</f>
        <v>0</v>
      </c>
      <c r="J59" s="51">
        <f t="shared" ref="J59:J60" si="38">J108*I$70</f>
        <v>5937.625457776865</v>
      </c>
      <c r="K59" s="40">
        <f t="shared" ref="K59:K60" si="39">B59/B$63</f>
        <v>0.61715673819603134</v>
      </c>
      <c r="L59" s="22">
        <f t="shared" ref="L59:L60" si="40">(L108*G$29*F$9/F$7)/B$112</f>
        <v>9.3180142579615072E-2</v>
      </c>
      <c r="M59" s="24">
        <f t="shared" ref="M59:M60" si="41">J59/B$63</f>
        <v>0.17610753364817797</v>
      </c>
      <c r="O59" s="2"/>
      <c r="P59" s="2"/>
      <c r="Q59" s="2"/>
      <c r="R59" s="2"/>
      <c r="S59" s="2"/>
      <c r="T59" s="2"/>
      <c r="U59" s="56"/>
      <c r="V59" s="56"/>
      <c r="W59" s="109"/>
      <c r="X59" s="117"/>
      <c r="Y59" s="109"/>
      <c r="Z59" s="155"/>
      <c r="AA59" s="146"/>
      <c r="AB59" s="155"/>
      <c r="AC59" s="146"/>
      <c r="AD59" s="155"/>
      <c r="AE59" s="146"/>
      <c r="AF59" s="155"/>
      <c r="AG59" s="146"/>
      <c r="AH59" s="154"/>
      <c r="AI59" s="146"/>
      <c r="AJ59" s="147"/>
      <c r="AK59" s="146"/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3.5" customHeight="1">
      <c r="A60" s="64" t="s">
        <v>139</v>
      </c>
      <c r="B60" s="103">
        <f>SUM([1]Summ!C1034)</f>
        <v>952</v>
      </c>
      <c r="C60" s="39"/>
      <c r="D60" s="38"/>
      <c r="E60" s="75">
        <f>Poor!E60</f>
        <v>1</v>
      </c>
      <c r="F60" s="75">
        <f>Poor!F60</f>
        <v>1.1100000000000001</v>
      </c>
      <c r="G60" s="22"/>
      <c r="H60" s="24">
        <f t="shared" si="36"/>
        <v>1.1100000000000001</v>
      </c>
      <c r="I60" s="39">
        <f t="shared" si="37"/>
        <v>0</v>
      </c>
      <c r="J60" s="51">
        <f t="shared" si="38"/>
        <v>0</v>
      </c>
      <c r="K60" s="40">
        <f t="shared" si="39"/>
        <v>2.8235929198511235E-2</v>
      </c>
      <c r="L60" s="22">
        <f t="shared" si="40"/>
        <v>0</v>
      </c>
      <c r="M60" s="24">
        <f t="shared" si="41"/>
        <v>0</v>
      </c>
      <c r="O60" s="2"/>
      <c r="P60" s="2"/>
      <c r="Q60" s="2"/>
      <c r="R60" s="2"/>
      <c r="S60" s="2"/>
      <c r="T60" s="2"/>
      <c r="U60" s="56"/>
      <c r="V60" s="56"/>
      <c r="W60" s="109"/>
      <c r="X60" s="117"/>
      <c r="Y60" s="109"/>
      <c r="Z60" s="155"/>
      <c r="AA60" s="146"/>
      <c r="AB60" s="155"/>
      <c r="AC60" s="146"/>
      <c r="AD60" s="155"/>
      <c r="AE60" s="146"/>
      <c r="AF60" s="155"/>
      <c r="AG60" s="146"/>
      <c r="AH60" s="154"/>
      <c r="AI60" s="146"/>
      <c r="AJ60" s="147"/>
      <c r="AK60" s="146"/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1" t="s">
        <v>37</v>
      </c>
      <c r="B61" s="81">
        <f>B110*B70</f>
        <v>4950.0000000000009</v>
      </c>
      <c r="C61" s="39"/>
      <c r="D61" s="38"/>
      <c r="E61" s="32"/>
      <c r="F61" s="32"/>
      <c r="G61" s="32"/>
      <c r="H61" s="31"/>
      <c r="I61" s="39">
        <f>I110*I$70</f>
        <v>23488.747329681082</v>
      </c>
      <c r="J61" s="51">
        <f>J110*I$70</f>
        <v>2534.5977790573575</v>
      </c>
      <c r="K61" s="40">
        <f>B61/B$63</f>
        <v>0.14681496799646077</v>
      </c>
      <c r="L61" s="22">
        <f>(L110*G$29*F$9/F$7)/B$112</f>
        <v>0.15471072994257429</v>
      </c>
      <c r="M61" s="24">
        <f>J61/B$63</f>
        <v>7.5175129659839676E-2</v>
      </c>
      <c r="O61" s="2"/>
      <c r="P61" s="2"/>
      <c r="Q61" s="2"/>
      <c r="R61" s="2"/>
      <c r="S61" s="2"/>
      <c r="T61" s="2"/>
      <c r="U61" s="56"/>
      <c r="V61" s="56"/>
      <c r="W61" s="109"/>
      <c r="X61" s="117"/>
      <c r="Y61" s="109"/>
      <c r="Z61" s="155"/>
      <c r="AA61" s="146">
        <f>AA22*$I$70/4</f>
        <v>0</v>
      </c>
      <c r="AB61" s="155"/>
      <c r="AC61" s="146">
        <f>AC22*$I$70/4</f>
        <v>0</v>
      </c>
      <c r="AD61" s="155"/>
      <c r="AE61" s="146">
        <f>AE22*$I$70/4</f>
        <v>552.32512999188975</v>
      </c>
      <c r="AF61" s="155"/>
      <c r="AG61" s="146">
        <f>AG22*$I$70/4</f>
        <v>416.98475008065253</v>
      </c>
      <c r="AH61" s="154"/>
      <c r="AI61" s="146">
        <f>SUM(AA61,AC61,AE61,AG61)</f>
        <v>969.30988007254223</v>
      </c>
      <c r="AJ61" s="147">
        <f>(AA61+AC61)</f>
        <v>0</v>
      </c>
      <c r="AK61" s="146">
        <f>(AE61+AG61)</f>
        <v>969.30988007254223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1" t="s">
        <v>57</v>
      </c>
      <c r="B62" s="52">
        <f>B63-B57-B58-B59-B60-B61</f>
        <v>-18155.336685015463</v>
      </c>
      <c r="C62" s="39"/>
      <c r="D62" s="38"/>
      <c r="E62" s="32"/>
      <c r="F62" s="32"/>
      <c r="G62" s="32"/>
      <c r="H62" s="31"/>
      <c r="I62" s="47"/>
      <c r="J62" s="51">
        <f>J111*I$70</f>
        <v>1.7787576295116E-12</v>
      </c>
      <c r="K62" s="40">
        <f>B62/B$63</f>
        <v>-0.53847983320717474</v>
      </c>
      <c r="L62" s="22">
        <f>(L111*G$29*F$9/F$7)/B$112</f>
        <v>0</v>
      </c>
      <c r="M62" s="24">
        <f>J62/B$63</f>
        <v>5.2757221101051697E-17</v>
      </c>
      <c r="O62" s="2"/>
      <c r="P62" s="2"/>
      <c r="Q62" s="2"/>
      <c r="R62" s="2"/>
      <c r="S62" s="2"/>
      <c r="T62" s="2"/>
      <c r="U62" s="56"/>
      <c r="V62" s="56"/>
      <c r="W62" s="109"/>
      <c r="X62" s="156"/>
      <c r="Y62" s="160" t="s">
        <v>106</v>
      </c>
      <c r="Z62" s="157"/>
      <c r="AA62" s="148">
        <f>AA66-AA61</f>
        <v>10557.963350399667</v>
      </c>
      <c r="AB62" s="157"/>
      <c r="AC62" s="148">
        <f>AA62+AC52-SUM(AC57,AC61)</f>
        <v>15823.08314167143</v>
      </c>
      <c r="AD62" s="157"/>
      <c r="AE62" s="148">
        <f>AC62+AE52-SUM(AE57,AE61)</f>
        <v>20472.15335676169</v>
      </c>
      <c r="AF62" s="157"/>
      <c r="AG62" s="148">
        <f>IF(SUM(AG6:AG21)+((AG52-AG57-$J$62)*4/I$70)&lt;1,0,AG52-AG57-$J$62-(1-SUM(AG6:AG21))*I$70/4)</f>
        <v>5292.843559127904</v>
      </c>
      <c r="AH62" s="133"/>
      <c r="AI62" s="148">
        <f>AI63-SUM(AI57,AI61)</f>
        <v>20472.153356761693</v>
      </c>
      <c r="AJ62" s="150">
        <f>AJ63-SUM(AJ57,AJ61)</f>
        <v>10530.239582543527</v>
      </c>
      <c r="AK62" s="148">
        <f>AJ62+AK63-SUM(AK57,AK61)</f>
        <v>20472.153356761693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 thickBot="1">
      <c r="A63" s="1" t="s">
        <v>33</v>
      </c>
      <c r="B63" s="81">
        <f>B52</f>
        <v>33715.908313376669</v>
      </c>
      <c r="C63" s="39"/>
      <c r="D63" s="38"/>
      <c r="E63" s="32"/>
      <c r="F63" s="32"/>
      <c r="G63" s="32"/>
      <c r="H63" s="31"/>
      <c r="I63" s="39">
        <f>I112*I$70</f>
        <v>38852.806627848113</v>
      </c>
      <c r="J63" s="51">
        <f>J112*I$70</f>
        <v>36805.522535001255</v>
      </c>
      <c r="K63" s="40">
        <f>SUM(K57:K62)</f>
        <v>1</v>
      </c>
      <c r="L63" s="22">
        <f>SUM(L57:L62)</f>
        <v>1.0882448987231057</v>
      </c>
      <c r="M63" s="24">
        <f>SUM(M57:M62)</f>
        <v>1.091636689508934</v>
      </c>
      <c r="N63" s="167" t="s">
        <v>89</v>
      </c>
      <c r="O63" s="2"/>
      <c r="P63" s="2"/>
      <c r="Q63" s="2"/>
      <c r="R63" s="2"/>
      <c r="S63" s="2"/>
      <c r="T63" s="2"/>
      <c r="U63" s="56"/>
      <c r="V63" s="56"/>
      <c r="W63" s="109"/>
      <c r="X63" s="190"/>
      <c r="Y63" s="190"/>
      <c r="Z63" s="136"/>
      <c r="AA63" s="153">
        <f>AA52</f>
        <v>9106.1346158135202</v>
      </c>
      <c r="AB63" s="136"/>
      <c r="AC63" s="152">
        <f>AC52</f>
        <v>9106.1346158135202</v>
      </c>
      <c r="AD63" s="136"/>
      <c r="AE63" s="152">
        <f>AE52</f>
        <v>9042.4101696239049</v>
      </c>
      <c r="AF63" s="136"/>
      <c r="AG63" s="152">
        <f>AG52</f>
        <v>9550.8431337503152</v>
      </c>
      <c r="AH63" s="136"/>
      <c r="AI63" s="152">
        <f>SUM(AA63,AC63,AE63,AG63)</f>
        <v>36805.522535001262</v>
      </c>
      <c r="AJ63" s="153">
        <f>SUM(AA63,AC63)</f>
        <v>18212.26923162704</v>
      </c>
      <c r="AK63" s="153">
        <f>SUM(AE63,AG63)</f>
        <v>18593.253303374222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 thickBot="1">
      <c r="A64" s="98" t="s">
        <v>38</v>
      </c>
      <c r="B64" s="81"/>
      <c r="C64" s="39"/>
      <c r="D64" s="38"/>
      <c r="E64" s="32"/>
      <c r="F64" s="32"/>
      <c r="G64" s="32"/>
      <c r="H64" s="31"/>
      <c r="I64" s="39">
        <f>I113*I$70</f>
        <v>37122.840000000011</v>
      </c>
      <c r="J64" s="99">
        <f>J113*I$70</f>
        <v>18215.974542223143</v>
      </c>
      <c r="K64" s="40"/>
      <c r="L64" s="22">
        <f>-(L113*G$29*F$9/F$7)/B$112</f>
        <v>-1.0078680526805335</v>
      </c>
      <c r="M64" s="24">
        <f>-J64/B$63</f>
        <v>-0.54027832715976443</v>
      </c>
      <c r="N64" s="168">
        <f>-(M64*B63)</f>
        <v>18215.974542223143</v>
      </c>
      <c r="O64" s="2"/>
      <c r="P64" s="2"/>
      <c r="Q64" s="2"/>
      <c r="R64" s="2"/>
      <c r="S64" s="2"/>
      <c r="T64" s="2"/>
      <c r="U64" s="56"/>
      <c r="V64" s="56"/>
      <c r="W64" s="109"/>
      <c r="X64" s="109"/>
      <c r="Y64" s="160" t="s">
        <v>104</v>
      </c>
      <c r="Z64" s="158"/>
      <c r="AA64" s="110">
        <f>AA23*$I$70/4</f>
        <v>0</v>
      </c>
      <c r="AB64" s="111"/>
      <c r="AC64" s="110">
        <f>AC23*$I$70/4</f>
        <v>0</v>
      </c>
      <c r="AD64" s="111"/>
      <c r="AE64" s="110">
        <f>AE23*$I$70/4</f>
        <v>0</v>
      </c>
      <c r="AF64" s="111"/>
      <c r="AG64" s="110">
        <f>AG23*$I$70/4</f>
        <v>0</v>
      </c>
      <c r="AH64" s="109"/>
      <c r="AI64" s="153">
        <f>SUM(AA64,AC64,AE64,AG64)</f>
        <v>0</v>
      </c>
      <c r="AJ64" s="152">
        <f>SUM(AA64,AC64)</f>
        <v>0</v>
      </c>
      <c r="AK64" s="159">
        <f>SUM(AE64,AG64)</f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82" t="s">
        <v>39</v>
      </c>
      <c r="B65" s="39"/>
      <c r="C65" s="39"/>
      <c r="D65" s="38"/>
      <c r="E65" s="32"/>
      <c r="F65" s="32"/>
      <c r="G65" s="32"/>
      <c r="H65" s="31"/>
      <c r="I65" s="47"/>
      <c r="J65" s="48"/>
      <c r="K65" s="32"/>
      <c r="L65" s="32"/>
      <c r="M65" s="48"/>
      <c r="N65" s="2"/>
      <c r="O65" s="2"/>
      <c r="P65" s="2"/>
      <c r="Q65" s="2"/>
      <c r="R65" s="2"/>
      <c r="S65" s="2"/>
      <c r="T65" s="2"/>
      <c r="U65" s="56"/>
      <c r="V65" s="56"/>
      <c r="W65" s="109"/>
      <c r="X65" s="109"/>
      <c r="Y65" s="160" t="s">
        <v>105</v>
      </c>
      <c r="Z65" s="109"/>
      <c r="AA65" s="111">
        <f>IF(SUM(AG6:AG21)+((AG52-AG57-$J$62)*4/I$70)&lt;1,0,AG52-AG57-$J$62-(1-SUM(AG6:AG21))*I$70/4)</f>
        <v>5292.843559127904</v>
      </c>
      <c r="AB65" s="111"/>
      <c r="AC65" s="111">
        <f>IF(AA62&lt;0,0,AA62)</f>
        <v>10557.963350399667</v>
      </c>
      <c r="AD65" s="111"/>
      <c r="AE65" s="111">
        <f>AC62</f>
        <v>15823.08314167143</v>
      </c>
      <c r="AF65" s="111"/>
      <c r="AG65" s="111">
        <f>AE62</f>
        <v>20472.15335676169</v>
      </c>
      <c r="AH65" s="109"/>
      <c r="AI65" s="145"/>
      <c r="AJ65" s="109"/>
      <c r="AK65" s="145"/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4" customHeight="1">
      <c r="A66" s="39" t="s">
        <v>40</v>
      </c>
      <c r="B66" s="232" t="str">
        <f>[1]Summ!C1037</f>
        <v>maize</v>
      </c>
      <c r="C66" s="39"/>
      <c r="D66" s="38"/>
      <c r="E66" s="32"/>
      <c r="F66" s="32"/>
      <c r="G66" s="32"/>
      <c r="H66" s="31"/>
      <c r="I66" s="47"/>
      <c r="J66" s="48"/>
      <c r="K66" s="32"/>
      <c r="L66" s="32"/>
      <c r="M66" s="48"/>
      <c r="N66" s="32"/>
      <c r="O66" s="2"/>
      <c r="P66" s="2"/>
      <c r="Q66" s="2"/>
      <c r="R66" s="2"/>
      <c r="S66" s="2"/>
      <c r="T66" s="2"/>
      <c r="U66" s="56"/>
      <c r="V66" s="56"/>
      <c r="W66" s="109"/>
      <c r="X66" s="109"/>
      <c r="Y66" s="160" t="s">
        <v>65</v>
      </c>
      <c r="Z66" s="109"/>
      <c r="AA66" s="111">
        <f>AA52-AA57+IF(SUM(AG6:AG21)+((AG52-AG57-$J$62)*4/I$70)&lt;1,0,AG52-AG57-$J$62-(1-SUM(AG6:AG21))*I$70/4)</f>
        <v>10557.963350399667</v>
      </c>
      <c r="AB66" s="111"/>
      <c r="AC66" s="111">
        <f>AA66-AA61+AC52-AC57</f>
        <v>15823.08314167143</v>
      </c>
      <c r="AD66" s="111"/>
      <c r="AE66" s="111">
        <f>AC66-AC61+AE52-AE57</f>
        <v>21024.478486753578</v>
      </c>
      <c r="AF66" s="111"/>
      <c r="AG66" s="111">
        <f>AE66-AE61+AG52-AG57</f>
        <v>26181.981665970248</v>
      </c>
      <c r="AH66" s="109"/>
      <c r="AI66" s="145"/>
      <c r="AJ66" s="109"/>
      <c r="AK66" s="145"/>
      <c r="AS66" s="25"/>
      <c r="AT66" s="25"/>
      <c r="AU66" s="25"/>
      <c r="AV66" s="25"/>
      <c r="AW66" s="25"/>
      <c r="AX66" s="25"/>
      <c r="AZ66" s="25"/>
      <c r="BA66" s="25"/>
      <c r="BB66" s="25"/>
      <c r="BC66" s="25"/>
      <c r="BD66" s="25"/>
      <c r="BE66" s="25"/>
      <c r="BI66" s="25"/>
      <c r="BJ66" s="25"/>
      <c r="BK66" s="25"/>
      <c r="BL66" s="25"/>
      <c r="BM66" s="25"/>
      <c r="BN66" s="25"/>
      <c r="BP66" s="25"/>
      <c r="BQ66" s="25"/>
      <c r="BR66" s="25"/>
      <c r="BS66" s="25"/>
      <c r="BT66" s="25"/>
      <c r="BU66" s="25"/>
      <c r="BX66" s="25"/>
      <c r="BY66" s="25"/>
      <c r="BZ66" s="25"/>
      <c r="CA66" s="25"/>
      <c r="CB66" s="25"/>
      <c r="CC66" s="25"/>
      <c r="CE66" s="25"/>
      <c r="CF66" s="25"/>
      <c r="CG66" s="25"/>
      <c r="CH66" s="25"/>
      <c r="CI66" s="25"/>
      <c r="CJ66" s="25"/>
    </row>
    <row r="67" spans="1:88" ht="14" customHeight="1">
      <c r="A67" s="39" t="s">
        <v>41</v>
      </c>
      <c r="B67" s="232">
        <f>[1]Summ!C1038</f>
        <v>0.58061985920496251</v>
      </c>
      <c r="C67" s="39"/>
      <c r="D67" s="38"/>
      <c r="E67" s="32"/>
      <c r="F67" s="32"/>
      <c r="G67" s="32"/>
      <c r="H67" s="31"/>
      <c r="I67" s="47"/>
      <c r="J67" s="48"/>
      <c r="K67" s="32"/>
      <c r="L67" s="32"/>
      <c r="M67" s="48"/>
      <c r="N67" s="32"/>
      <c r="O67" s="2"/>
      <c r="P67" s="2"/>
      <c r="Q67" s="2"/>
      <c r="R67" s="2"/>
      <c r="S67" s="2"/>
      <c r="T67" s="2"/>
      <c r="U67" s="56"/>
      <c r="V67" s="56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45"/>
      <c r="AJ67" s="109"/>
      <c r="AK67" s="145"/>
      <c r="AS67" s="25"/>
      <c r="AT67" s="25"/>
      <c r="AU67" s="25"/>
      <c r="AV67" s="25"/>
      <c r="AW67" s="25"/>
      <c r="AX67" s="25"/>
      <c r="AZ67" s="25"/>
      <c r="BA67" s="25"/>
      <c r="BB67" s="25"/>
      <c r="BC67" s="25"/>
      <c r="BD67" s="25"/>
      <c r="BE67" s="25"/>
      <c r="BI67" s="25"/>
      <c r="BJ67" s="25"/>
      <c r="BK67" s="25"/>
      <c r="BL67" s="25"/>
      <c r="BM67" s="25"/>
      <c r="BN67" s="25"/>
      <c r="BP67" s="25"/>
      <c r="BQ67" s="25"/>
      <c r="BR67" s="25"/>
      <c r="BS67" s="25"/>
      <c r="BT67" s="25"/>
      <c r="BU67" s="25"/>
      <c r="BX67" s="25"/>
      <c r="BY67" s="25"/>
      <c r="BZ67" s="25"/>
      <c r="CA67" s="25"/>
      <c r="CB67" s="25"/>
      <c r="CC67" s="25"/>
      <c r="CE67" s="25"/>
      <c r="CF67" s="25"/>
      <c r="CG67" s="25"/>
      <c r="CH67" s="25"/>
      <c r="CI67" s="25"/>
      <c r="CJ67" s="25"/>
    </row>
    <row r="68" spans="1:88" ht="14" customHeight="1">
      <c r="A68" s="39" t="s">
        <v>42</v>
      </c>
      <c r="B68" s="232">
        <f>[1]Summ!C1039</f>
        <v>6</v>
      </c>
      <c r="C68" s="39"/>
      <c r="D68" s="38"/>
      <c r="E68" s="32"/>
      <c r="F68" s="32"/>
      <c r="G68" s="32"/>
      <c r="H68" s="31"/>
      <c r="I68" s="47"/>
      <c r="J68" s="48"/>
      <c r="K68" s="32"/>
      <c r="L68" s="32"/>
      <c r="M68" s="48"/>
      <c r="N68" s="32"/>
      <c r="O68" s="2"/>
      <c r="P68" s="2"/>
      <c r="Q68" s="2"/>
      <c r="R68" s="2"/>
      <c r="S68" s="2"/>
      <c r="T68" s="2"/>
      <c r="U68" s="56"/>
      <c r="V68" s="56"/>
      <c r="W68" s="109"/>
      <c r="X68" s="109"/>
      <c r="Y68" s="109"/>
      <c r="Z68" s="142" t="s">
        <v>66</v>
      </c>
      <c r="AA68" s="158"/>
      <c r="AB68" s="158"/>
      <c r="AC68" s="158"/>
      <c r="AD68" s="158"/>
      <c r="AE68" s="158"/>
      <c r="AF68" s="158"/>
      <c r="AG68" s="143"/>
      <c r="AH68" s="113" t="s">
        <v>67</v>
      </c>
      <c r="AI68" s="145"/>
      <c r="AJ68" s="109"/>
      <c r="AK68" s="145"/>
      <c r="AS68" s="25"/>
      <c r="AT68" s="25"/>
      <c r="AU68" s="25"/>
      <c r="AV68" s="25"/>
      <c r="AW68" s="25"/>
      <c r="AX68" s="25"/>
      <c r="AZ68" s="25"/>
      <c r="BA68" s="25"/>
      <c r="BB68" s="25"/>
      <c r="BC68" s="25"/>
      <c r="BD68" s="25"/>
      <c r="BE68" s="25"/>
      <c r="BI68" s="25"/>
      <c r="BJ68" s="25"/>
      <c r="BK68" s="25"/>
      <c r="BL68" s="25"/>
      <c r="BM68" s="25"/>
      <c r="BN68" s="25"/>
      <c r="BP68" s="25"/>
      <c r="BQ68" s="25"/>
      <c r="BR68" s="25"/>
      <c r="BS68" s="25"/>
      <c r="BT68" s="25"/>
      <c r="BU68" s="25"/>
      <c r="BX68" s="25"/>
      <c r="BY68" s="25"/>
      <c r="BZ68" s="25"/>
      <c r="CA68" s="25"/>
      <c r="CB68" s="25"/>
      <c r="CC68" s="25"/>
      <c r="CE68" s="25"/>
      <c r="CF68" s="25"/>
      <c r="CG68" s="25"/>
      <c r="CH68" s="25"/>
      <c r="CI68" s="25"/>
      <c r="CJ68" s="25"/>
    </row>
    <row r="69" spans="1:88" ht="14" customHeight="1">
      <c r="A69" s="39" t="s">
        <v>43</v>
      </c>
      <c r="B69" s="232">
        <f>[1]Summ!C1040</f>
        <v>5.625</v>
      </c>
      <c r="C69" s="39"/>
      <c r="D69" s="38"/>
      <c r="E69" s="32"/>
      <c r="F69" s="32"/>
      <c r="G69" s="32"/>
      <c r="H69" s="31"/>
      <c r="I69" s="47"/>
      <c r="J69" s="48"/>
      <c r="K69" s="32"/>
      <c r="L69" s="32"/>
      <c r="M69" s="48"/>
      <c r="N69" s="32"/>
      <c r="O69" s="2"/>
      <c r="P69" s="2"/>
      <c r="Q69" s="2"/>
      <c r="R69" s="2"/>
      <c r="S69" s="2"/>
      <c r="T69" s="2"/>
      <c r="U69" s="56"/>
      <c r="V69" s="56"/>
      <c r="X69" s="109"/>
      <c r="Y69" s="160" t="s">
        <v>68</v>
      </c>
      <c r="Z69" s="161">
        <f>IF($AH$69=0,0,AA69/$AH$69)</f>
        <v>1</v>
      </c>
      <c r="AA69" s="194">
        <f>Poor!AA69</f>
        <v>6.3000000000000007</v>
      </c>
      <c r="AB69" s="161">
        <f>IF($AH$69=0,0,AC69/$AH$69)</f>
        <v>1</v>
      </c>
      <c r="AC69" s="194">
        <f>Poor!AC69</f>
        <v>6.3000000000000007</v>
      </c>
      <c r="AD69" s="161">
        <f>IF($AH$69=0,0,AE69/$AH$69)</f>
        <v>1</v>
      </c>
      <c r="AE69" s="194">
        <f>Poor!AE69</f>
        <v>6.3000000000000007</v>
      </c>
      <c r="AF69" s="161">
        <f>IF($AH$69=0,0,AG69/$AH$69)</f>
        <v>1</v>
      </c>
      <c r="AG69" s="194">
        <f>Poor!AG69</f>
        <v>6.3000000000000007</v>
      </c>
      <c r="AH69" s="163">
        <f>IF(PRODUCT(AA69,AC69,AE69,AG69)=0,0,SUM(AA69,AC69,AE69,AG69)/4)</f>
        <v>6.3000000000000007</v>
      </c>
      <c r="AI69" s="145"/>
      <c r="AJ69" s="109"/>
      <c r="AK69" s="145"/>
      <c r="AS69" s="25"/>
      <c r="AT69" s="25"/>
      <c r="AU69" s="25"/>
      <c r="AV69" s="25"/>
      <c r="AW69" s="25"/>
      <c r="AX69" s="25"/>
      <c r="AZ69" s="25"/>
      <c r="BA69" s="25"/>
      <c r="BB69" s="25"/>
      <c r="BC69" s="25"/>
      <c r="BD69" s="25"/>
      <c r="BE69" s="25"/>
      <c r="BI69" s="25"/>
      <c r="BJ69" s="25"/>
      <c r="BK69" s="25"/>
      <c r="BL69" s="25"/>
      <c r="BM69" s="25"/>
      <c r="BN69" s="25"/>
      <c r="BP69" s="25"/>
      <c r="BQ69" s="25"/>
      <c r="BR69" s="25"/>
      <c r="BS69" s="25"/>
      <c r="BT69" s="25"/>
      <c r="BU69" s="25"/>
      <c r="BX69" s="25"/>
      <c r="BY69" s="25"/>
      <c r="BZ69" s="25"/>
      <c r="CA69" s="25"/>
      <c r="CB69" s="25"/>
      <c r="CC69" s="25"/>
      <c r="CE69" s="25"/>
      <c r="CF69" s="25"/>
      <c r="CG69" s="25"/>
      <c r="CH69" s="25"/>
      <c r="CI69" s="25"/>
      <c r="CJ69" s="25"/>
    </row>
    <row r="70" spans="1:88" ht="14" customHeight="1">
      <c r="A70" s="39" t="s">
        <v>44</v>
      </c>
      <c r="B70" s="39">
        <f>365*B67*B68*B69</f>
        <v>7152.5108905811321</v>
      </c>
      <c r="C70" s="39"/>
      <c r="D70" s="38"/>
      <c r="E70" s="32"/>
      <c r="F70" s="32"/>
      <c r="G70" s="32"/>
      <c r="H70" s="24">
        <f>G$29*F$9/F$7</f>
        <v>1.1200000000000001</v>
      </c>
      <c r="I70" s="39">
        <f xml:space="preserve"> B70*H70</f>
        <v>8010.8121974508686</v>
      </c>
      <c r="J70" s="48"/>
      <c r="K70" s="32"/>
      <c r="L70" s="32"/>
      <c r="M70" s="48"/>
      <c r="N70" s="32"/>
      <c r="O70" s="2"/>
      <c r="P70" s="2"/>
      <c r="Q70" s="2"/>
      <c r="R70" s="2"/>
      <c r="S70" s="2"/>
      <c r="T70" s="2"/>
      <c r="U70" s="56"/>
      <c r="V70" s="56"/>
      <c r="X70" s="109"/>
      <c r="Y70" s="160" t="s">
        <v>133</v>
      </c>
      <c r="Z70" s="109"/>
      <c r="AA70" s="164">
        <f>$I$70*Z69/4</f>
        <v>2002.7030493627171</v>
      </c>
      <c r="AB70" s="111"/>
      <c r="AC70" s="164">
        <f>$I$70*AB69/4</f>
        <v>2002.7030493627171</v>
      </c>
      <c r="AD70" s="111"/>
      <c r="AE70" s="164">
        <f>$I$70*AD69/4</f>
        <v>2002.7030493627171</v>
      </c>
      <c r="AF70" s="111"/>
      <c r="AG70" s="164">
        <f>$I$70*AF69/4</f>
        <v>2002.7030493627171</v>
      </c>
      <c r="AH70" s="164">
        <f>SUM(AA70,AC70,AE70,AG70)</f>
        <v>8010.8121974508686</v>
      </c>
      <c r="AI70" s="145"/>
      <c r="AJ70" s="109"/>
      <c r="AK70" s="145"/>
      <c r="AS70" s="25"/>
      <c r="AT70" s="25"/>
      <c r="AU70" s="25"/>
      <c r="AV70" s="25"/>
      <c r="AW70" s="25"/>
      <c r="AX70" s="25"/>
      <c r="AZ70" s="25"/>
      <c r="BA70" s="25"/>
      <c r="BB70" s="25"/>
      <c r="BC70" s="25"/>
      <c r="BD70" s="25"/>
      <c r="BE70" s="25"/>
      <c r="BI70" s="25"/>
      <c r="BJ70" s="25"/>
      <c r="BK70" s="25"/>
      <c r="BL70" s="25"/>
      <c r="BM70" s="25"/>
      <c r="BN70" s="25"/>
      <c r="BP70" s="25"/>
      <c r="BQ70" s="25"/>
      <c r="BR70" s="25"/>
      <c r="BS70" s="25"/>
      <c r="BT70" s="25"/>
      <c r="BU70" s="25"/>
      <c r="BX70" s="25"/>
      <c r="BY70" s="25"/>
      <c r="BZ70" s="25"/>
      <c r="CA70" s="25"/>
      <c r="CB70" s="25"/>
      <c r="CC70" s="25"/>
      <c r="CE70" s="25"/>
      <c r="CF70" s="25"/>
      <c r="CG70" s="25"/>
      <c r="CH70" s="25"/>
      <c r="CI70" s="25"/>
      <c r="CJ70" s="25"/>
    </row>
    <row r="71" spans="1:88" ht="14" customHeight="1" thickBot="1">
      <c r="A71" s="46" t="s">
        <v>144</v>
      </c>
      <c r="B71" s="244">
        <f>B57+((1-D21)*B70)</f>
        <v>16436.928182135824</v>
      </c>
      <c r="C71" s="46"/>
      <c r="D71" s="245"/>
      <c r="E71" s="64"/>
      <c r="F71" s="64"/>
      <c r="G71" s="64"/>
      <c r="H71" s="246">
        <f>IF(B71=0,0,I71/B71)</f>
        <v>1.1363987392888162</v>
      </c>
      <c r="I71" s="244">
        <f>(B57*H57)+((1-(D21*H21))*I70)</f>
        <v>18678.904463959963</v>
      </c>
      <c r="J71" s="48"/>
      <c r="K71" s="32"/>
      <c r="L71" s="32"/>
      <c r="M71" s="48"/>
      <c r="N71" s="32"/>
      <c r="O71" s="2"/>
      <c r="P71" s="2"/>
      <c r="Q71" s="2"/>
      <c r="R71" s="2"/>
      <c r="S71" s="2"/>
      <c r="T71" s="2"/>
      <c r="U71" s="56"/>
      <c r="V71" s="56"/>
      <c r="X71" s="109"/>
      <c r="Y71" s="160"/>
      <c r="Z71" s="109"/>
      <c r="AA71" s="109"/>
      <c r="AB71" s="109"/>
      <c r="AC71" s="109"/>
      <c r="AD71" s="109"/>
      <c r="AE71" s="109"/>
      <c r="AF71" s="109"/>
      <c r="AG71" s="109"/>
      <c r="AH71" s="109"/>
      <c r="AI71" s="145"/>
      <c r="AJ71" s="109"/>
      <c r="AK71" s="145"/>
      <c r="AS71" s="25"/>
      <c r="AT71" s="25"/>
      <c r="AU71" s="25"/>
      <c r="AV71" s="25"/>
      <c r="AW71" s="25"/>
      <c r="AX71" s="25"/>
      <c r="AZ71" s="25"/>
      <c r="BA71" s="25"/>
      <c r="BB71" s="25"/>
      <c r="BC71" s="25"/>
      <c r="BD71" s="25"/>
      <c r="BE71" s="25"/>
      <c r="BI71" s="25"/>
      <c r="BJ71" s="25"/>
      <c r="BK71" s="25"/>
      <c r="BL71" s="25"/>
      <c r="BM71" s="25"/>
      <c r="BN71" s="25"/>
      <c r="BP71" s="25"/>
      <c r="BQ71" s="25"/>
      <c r="BR71" s="25"/>
      <c r="BS71" s="25"/>
      <c r="BT71" s="25"/>
      <c r="BU71" s="25"/>
      <c r="BX71" s="25"/>
      <c r="BY71" s="25"/>
      <c r="BZ71" s="25"/>
      <c r="CA71" s="25"/>
      <c r="CB71" s="25"/>
      <c r="CC71" s="25"/>
      <c r="CE71" s="25"/>
      <c r="CF71" s="25"/>
      <c r="CG71" s="25"/>
      <c r="CH71" s="25"/>
      <c r="CI71" s="25"/>
      <c r="CJ71" s="25"/>
    </row>
    <row r="72" spans="1:88" ht="14" customHeight="1" thickBot="1">
      <c r="A72" s="39" t="s">
        <v>45</v>
      </c>
      <c r="B72" s="39"/>
      <c r="C72" s="39"/>
      <c r="D72" s="38"/>
      <c r="E72" s="32"/>
      <c r="F72" s="32"/>
      <c r="G72" s="32"/>
      <c r="H72" s="31"/>
      <c r="I72" s="47"/>
      <c r="J72" s="48"/>
      <c r="K72" s="32"/>
      <c r="L72" s="32"/>
      <c r="M72" s="48"/>
      <c r="N72" s="32"/>
      <c r="O72" s="2"/>
      <c r="P72" s="2"/>
      <c r="Q72" s="2"/>
      <c r="R72" s="2"/>
      <c r="S72" s="2"/>
      <c r="T72" s="2"/>
      <c r="U72" s="56"/>
      <c r="V72" s="56"/>
      <c r="X72" s="109"/>
      <c r="Y72" s="160"/>
      <c r="Z72" s="109"/>
      <c r="AA72" s="112"/>
      <c r="AB72" s="109"/>
      <c r="AC72" s="112"/>
      <c r="AD72" s="109"/>
      <c r="AE72" s="112"/>
      <c r="AF72" s="109"/>
      <c r="AG72" s="112"/>
      <c r="AH72" s="109"/>
      <c r="AI72" s="191"/>
      <c r="AJ72" s="192"/>
      <c r="AK72" s="193"/>
      <c r="AS72" s="25"/>
      <c r="AT72" s="25"/>
      <c r="AU72" s="25"/>
      <c r="AV72" s="25"/>
      <c r="AW72" s="25"/>
      <c r="AX72" s="25"/>
      <c r="AZ72" s="25"/>
      <c r="BA72" s="25"/>
      <c r="BB72" s="25"/>
      <c r="BC72" s="25"/>
      <c r="BD72" s="25"/>
      <c r="BE72" s="25"/>
      <c r="BI72" s="25"/>
      <c r="BJ72" s="25"/>
      <c r="BK72" s="25"/>
      <c r="BL72" s="25"/>
      <c r="BM72" s="25"/>
      <c r="BN72" s="25"/>
      <c r="BP72" s="25"/>
      <c r="BQ72" s="25"/>
      <c r="BR72" s="25"/>
      <c r="BS72" s="25"/>
      <c r="BT72" s="25"/>
      <c r="BU72" s="25"/>
      <c r="BX72" s="25"/>
      <c r="BY72" s="25"/>
      <c r="BZ72" s="25"/>
      <c r="CA72" s="25"/>
      <c r="CB72" s="25"/>
      <c r="CC72" s="25"/>
      <c r="CE72" s="25"/>
      <c r="CF72" s="25"/>
      <c r="CG72" s="25"/>
      <c r="CH72" s="25"/>
      <c r="CI72" s="25"/>
      <c r="CJ72" s="25"/>
    </row>
    <row r="73" spans="1:88" ht="14" customHeight="1">
      <c r="A73" s="105"/>
      <c r="B73" s="106"/>
      <c r="C73" s="39"/>
      <c r="D73" s="38"/>
      <c r="E73" s="32"/>
      <c r="F73" s="32"/>
      <c r="G73" s="32"/>
      <c r="H73" s="31"/>
      <c r="I73" s="47"/>
      <c r="J73" s="48"/>
      <c r="K73" s="32"/>
      <c r="L73" s="32"/>
      <c r="M73" s="48"/>
      <c r="N73" s="32"/>
      <c r="O73" s="2"/>
      <c r="P73" s="2"/>
      <c r="Q73" s="2"/>
      <c r="R73" s="2"/>
      <c r="S73" s="2"/>
      <c r="T73" s="2"/>
      <c r="U73" s="2"/>
      <c r="V73" s="2"/>
      <c r="W73" s="2"/>
      <c r="X73" s="2"/>
      <c r="Y73" s="56"/>
      <c r="Z73" s="56"/>
      <c r="AA73" s="41"/>
      <c r="AB73" s="56"/>
      <c r="AC73" s="41"/>
      <c r="AD73" s="56"/>
      <c r="AE73" s="41"/>
      <c r="AF73" s="56"/>
      <c r="AG73" s="41"/>
      <c r="AH73" s="67"/>
      <c r="AI73" s="67"/>
      <c r="AJ73" s="67"/>
      <c r="AS73" s="25"/>
      <c r="AT73" s="25"/>
      <c r="AU73" s="25"/>
      <c r="AV73" s="25"/>
      <c r="AW73" s="25"/>
      <c r="AX73" s="25"/>
      <c r="AZ73" s="25"/>
      <c r="BA73" s="25"/>
      <c r="BB73" s="25"/>
      <c r="BC73" s="25"/>
      <c r="BD73" s="25"/>
      <c r="BE73" s="25"/>
      <c r="BI73" s="25"/>
      <c r="BJ73" s="25"/>
      <c r="BK73" s="25"/>
      <c r="BL73" s="25"/>
      <c r="BM73" s="25"/>
      <c r="BN73" s="25"/>
      <c r="BP73" s="25"/>
      <c r="BQ73" s="25"/>
      <c r="BR73" s="25"/>
      <c r="BS73" s="25"/>
      <c r="BT73" s="25"/>
      <c r="BU73" s="25"/>
      <c r="BX73" s="25"/>
      <c r="BY73" s="25"/>
      <c r="BZ73" s="25"/>
      <c r="CA73" s="25"/>
      <c r="CB73" s="25"/>
      <c r="CC73" s="25"/>
      <c r="CE73" s="25"/>
      <c r="CF73" s="25"/>
      <c r="CG73" s="25"/>
      <c r="CH73" s="25"/>
      <c r="CI73" s="25"/>
      <c r="CJ73" s="25"/>
    </row>
    <row r="74" spans="1:88" ht="14" customHeight="1">
      <c r="A74" s="39" t="s">
        <v>125</v>
      </c>
      <c r="B74" s="75">
        <f>[1]Summ!$H$815</f>
        <v>0</v>
      </c>
      <c r="C74" s="14"/>
      <c r="D74" s="12"/>
      <c r="E74" s="14"/>
      <c r="F74" s="14"/>
      <c r="G74" s="14"/>
      <c r="H74" s="12"/>
      <c r="I74" s="14"/>
      <c r="J74" s="12"/>
      <c r="K74" s="14"/>
      <c r="L74" s="14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9"/>
      <c r="Z74" s="56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S74" s="25"/>
      <c r="AT74" s="25"/>
      <c r="AU74" s="25"/>
      <c r="AV74" s="25"/>
      <c r="AW74" s="25"/>
      <c r="AX74" s="25"/>
      <c r="AZ74" s="25"/>
      <c r="BA74" s="25"/>
      <c r="BB74" s="25"/>
      <c r="BC74" s="25"/>
      <c r="BD74" s="25"/>
      <c r="BE74" s="25"/>
      <c r="BI74" s="25"/>
      <c r="BJ74" s="25"/>
      <c r="BK74" s="25"/>
      <c r="BL74" s="25"/>
      <c r="BM74" s="25"/>
      <c r="BN74" s="25"/>
      <c r="BP74" s="25"/>
      <c r="BQ74" s="25"/>
      <c r="BR74" s="25"/>
      <c r="BS74" s="25"/>
      <c r="BT74" s="25"/>
      <c r="BU74" s="25"/>
      <c r="BX74" s="25"/>
      <c r="BY74" s="25"/>
      <c r="BZ74" s="25"/>
      <c r="CA74" s="25"/>
      <c r="CB74" s="25"/>
      <c r="CC74" s="25"/>
      <c r="CE74" s="25"/>
      <c r="CF74" s="25"/>
      <c r="CG74" s="25"/>
      <c r="CH74" s="25"/>
      <c r="CI74" s="25"/>
      <c r="CJ74" s="25"/>
    </row>
    <row r="75" spans="1:88" ht="15.75" customHeight="1">
      <c r="A75" s="73" t="str">
        <f>A26</f>
        <v>Income : Very Poor HHs</v>
      </c>
      <c r="B75" s="2"/>
      <c r="C75" s="2"/>
      <c r="D75" s="31"/>
      <c r="E75" s="2"/>
      <c r="F75" s="2"/>
      <c r="G75" s="2"/>
      <c r="H75" s="17"/>
      <c r="I75" s="2"/>
      <c r="J75" s="33"/>
      <c r="M75" s="57"/>
      <c r="N75" s="58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S75" s="25"/>
      <c r="AT75" s="25"/>
      <c r="AU75" s="25"/>
      <c r="AV75" s="25"/>
      <c r="AW75" s="25"/>
      <c r="AX75" s="25"/>
      <c r="AZ75" s="25"/>
      <c r="BA75" s="25"/>
      <c r="BB75" s="25"/>
      <c r="BC75" s="25"/>
      <c r="BD75" s="25"/>
      <c r="BE75" s="25"/>
      <c r="BI75" s="25"/>
      <c r="BJ75" s="25"/>
      <c r="BK75" s="25"/>
      <c r="BL75" s="25"/>
      <c r="BM75" s="25"/>
      <c r="BN75" s="25"/>
      <c r="BP75" s="25"/>
      <c r="BQ75" s="25"/>
      <c r="BR75" s="25"/>
      <c r="BS75" s="25"/>
      <c r="BT75" s="25"/>
      <c r="BU75" s="25"/>
      <c r="BX75" s="25"/>
      <c r="BY75" s="25"/>
      <c r="BZ75" s="25"/>
      <c r="CA75" s="25"/>
      <c r="CB75" s="25"/>
      <c r="CC75" s="25"/>
      <c r="CE75" s="25"/>
      <c r="CF75" s="25"/>
      <c r="CG75" s="25"/>
      <c r="CH75" s="25"/>
      <c r="CI75" s="25"/>
      <c r="CJ75" s="25"/>
    </row>
    <row r="76" spans="1:88" ht="14" customHeight="1">
      <c r="A76" s="2"/>
      <c r="B76" s="19" t="s">
        <v>7</v>
      </c>
      <c r="C76" s="19" t="s">
        <v>8</v>
      </c>
      <c r="D76" s="16" t="s">
        <v>9</v>
      </c>
      <c r="H76" s="16" t="s">
        <v>12</v>
      </c>
      <c r="I76" s="19" t="s">
        <v>13</v>
      </c>
      <c r="J76" s="16" t="s">
        <v>14</v>
      </c>
      <c r="K76" s="19" t="s">
        <v>7</v>
      </c>
      <c r="L76" s="19" t="s">
        <v>15</v>
      </c>
      <c r="M76" s="57" t="str">
        <f t="shared" ref="M76:M101" si="42">(J76)</f>
        <v>Curr.</v>
      </c>
      <c r="N76" s="58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S76" s="25"/>
      <c r="AT76" s="25"/>
      <c r="AU76" s="25"/>
      <c r="AV76" s="25"/>
      <c r="AW76" s="25"/>
      <c r="AX76" s="25"/>
      <c r="AZ76" s="25"/>
      <c r="BA76" s="25"/>
      <c r="BB76" s="25"/>
      <c r="BC76" s="25"/>
      <c r="BD76" s="25"/>
      <c r="BE76" s="25"/>
      <c r="BI76" s="25"/>
      <c r="BJ76" s="25"/>
      <c r="BK76" s="25"/>
      <c r="BL76" s="25"/>
      <c r="BM76" s="25"/>
      <c r="BN76" s="25"/>
      <c r="BP76" s="25"/>
      <c r="BQ76" s="25"/>
      <c r="BR76" s="25"/>
      <c r="BS76" s="25"/>
      <c r="BT76" s="25"/>
      <c r="BU76" s="25"/>
      <c r="BX76" s="25"/>
      <c r="BY76" s="25"/>
      <c r="BZ76" s="25"/>
      <c r="CA76" s="25"/>
      <c r="CB76" s="25"/>
      <c r="CC76" s="25"/>
      <c r="CE76" s="25"/>
      <c r="CF76" s="25"/>
      <c r="CG76" s="25"/>
      <c r="CH76" s="25"/>
      <c r="CI76" s="25"/>
      <c r="CJ76" s="25"/>
    </row>
    <row r="77" spans="1:88" ht="14" customHeight="1">
      <c r="A77" s="2" t="s">
        <v>46</v>
      </c>
      <c r="B77" s="19" t="s">
        <v>16</v>
      </c>
      <c r="C77" s="19" t="s">
        <v>17</v>
      </c>
      <c r="D77" s="16" t="s">
        <v>16</v>
      </c>
      <c r="H77" s="16" t="s">
        <v>18</v>
      </c>
      <c r="I77" s="19" t="s">
        <v>16</v>
      </c>
      <c r="J77" s="16" t="s">
        <v>16</v>
      </c>
      <c r="K77" s="19" t="s">
        <v>16</v>
      </c>
      <c r="L77" s="19" t="s">
        <v>20</v>
      </c>
      <c r="M77" s="57" t="str">
        <f t="shared" si="42"/>
        <v>Access</v>
      </c>
      <c r="N77" s="58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S77" s="25"/>
      <c r="AT77" s="25"/>
      <c r="AU77" s="25"/>
      <c r="AV77" s="25"/>
      <c r="AW77" s="25"/>
      <c r="AX77" s="25"/>
      <c r="AZ77" s="25"/>
      <c r="BA77" s="25"/>
      <c r="BB77" s="25"/>
      <c r="BC77" s="25"/>
      <c r="BD77" s="25"/>
      <c r="BE77" s="25"/>
      <c r="BI77" s="25"/>
      <c r="BJ77" s="25"/>
      <c r="BK77" s="25"/>
      <c r="BL77" s="25"/>
      <c r="BM77" s="25"/>
      <c r="BN77" s="25"/>
      <c r="BP77" s="25"/>
      <c r="BQ77" s="25"/>
      <c r="BR77" s="25"/>
      <c r="BS77" s="25"/>
      <c r="BT77" s="25"/>
      <c r="BU77" s="25"/>
      <c r="BX77" s="25"/>
      <c r="BY77" s="25"/>
      <c r="BZ77" s="25"/>
      <c r="CA77" s="25"/>
      <c r="CB77" s="25"/>
      <c r="CC77" s="25"/>
      <c r="CE77" s="25"/>
      <c r="CF77" s="25"/>
      <c r="CG77" s="25"/>
      <c r="CH77" s="25"/>
      <c r="CI77" s="25"/>
      <c r="CJ77" s="25"/>
    </row>
    <row r="78" spans="1:88" ht="14" customHeight="1">
      <c r="A78" s="2" t="str">
        <f t="shared" ref="A78:A100" si="43">IF(A29="","",A29)</f>
        <v>Pig sales: no sold</v>
      </c>
      <c r="B78" s="75">
        <f t="shared" ref="B78:C100" si="44">(B29/$B$70)</f>
        <v>6.9905520963055204E-2</v>
      </c>
      <c r="C78" s="75">
        <f t="shared" si="44"/>
        <v>0</v>
      </c>
      <c r="D78" s="24">
        <f t="shared" ref="D78:D100" si="45">(B78+C78)</f>
        <v>6.9905520963055204E-2</v>
      </c>
      <c r="H78" s="24">
        <f t="shared" ref="H78:H100" si="46">(E29*F29/G29*F$7/F$9)</f>
        <v>0.9196428571428571</v>
      </c>
      <c r="I78" s="22">
        <f t="shared" ref="I78:I100" si="47">(D78*H78)</f>
        <v>6.4288113028523983E-2</v>
      </c>
      <c r="J78" s="24">
        <f t="shared" ref="J78:J86" si="48">IF(I$24&lt;=1+I$113,I78,L78+J$25*(I78-L78))</f>
        <v>6.4288113028523983E-2</v>
      </c>
      <c r="K78" s="22">
        <f t="shared" ref="K78:K100" si="49">(B78)</f>
        <v>6.9905520963055204E-2</v>
      </c>
      <c r="L78" s="22">
        <f t="shared" ref="L78:L100" si="50">(K78*H78)</f>
        <v>6.4288113028523983E-2</v>
      </c>
      <c r="M78" s="229">
        <f t="shared" si="42"/>
        <v>6.4288113028523983E-2</v>
      </c>
      <c r="N78" s="231">
        <v>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S78" s="25"/>
      <c r="AT78" s="25"/>
      <c r="AU78" s="25"/>
      <c r="AV78" s="25"/>
      <c r="AW78" s="25"/>
      <c r="AX78" s="25"/>
      <c r="AZ78" s="25"/>
      <c r="BA78" s="25"/>
      <c r="BB78" s="25"/>
      <c r="BC78" s="25"/>
      <c r="BD78" s="25"/>
      <c r="BE78" s="25"/>
      <c r="BI78" s="25"/>
      <c r="BJ78" s="25"/>
      <c r="BK78" s="25"/>
      <c r="BL78" s="25"/>
      <c r="BM78" s="25"/>
      <c r="BN78" s="25"/>
      <c r="BP78" s="25"/>
      <c r="BQ78" s="25"/>
      <c r="BR78" s="25"/>
      <c r="BS78" s="25"/>
      <c r="BT78" s="25"/>
      <c r="BU78" s="25"/>
      <c r="BX78" s="25"/>
      <c r="BY78" s="25"/>
      <c r="BZ78" s="25"/>
      <c r="CA78" s="25"/>
      <c r="CB78" s="25"/>
      <c r="CC78" s="25"/>
      <c r="CE78" s="25"/>
      <c r="CF78" s="25"/>
      <c r="CG78" s="25"/>
      <c r="CH78" s="25"/>
      <c r="CI78" s="25"/>
      <c r="CJ78" s="25"/>
    </row>
    <row r="79" spans="1:88" ht="14" customHeight="1">
      <c r="A79" s="2" t="str">
        <f t="shared" si="43"/>
        <v>Cattle sales - local: no. sold</v>
      </c>
      <c r="B79" s="75">
        <f t="shared" si="44"/>
        <v>0</v>
      </c>
      <c r="C79" s="75">
        <f t="shared" si="44"/>
        <v>0</v>
      </c>
      <c r="D79" s="24">
        <f t="shared" si="45"/>
        <v>0</v>
      </c>
      <c r="H79" s="24">
        <f t="shared" si="46"/>
        <v>0.99107142857142871</v>
      </c>
      <c r="I79" s="22">
        <f t="shared" si="47"/>
        <v>0</v>
      </c>
      <c r="J79" s="24">
        <f t="shared" si="48"/>
        <v>0</v>
      </c>
      <c r="K79" s="22">
        <f t="shared" si="49"/>
        <v>0</v>
      </c>
      <c r="L79" s="22">
        <f t="shared" si="50"/>
        <v>0</v>
      </c>
      <c r="M79" s="229">
        <f t="shared" si="42"/>
        <v>0</v>
      </c>
      <c r="N79" s="231">
        <v>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2" t="str">
        <f t="shared" si="43"/>
        <v>Goat sales - local: no. sold</v>
      </c>
      <c r="B80" s="75">
        <f t="shared" si="44"/>
        <v>0</v>
      </c>
      <c r="C80" s="75">
        <f t="shared" si="44"/>
        <v>0</v>
      </c>
      <c r="D80" s="24">
        <f t="shared" si="45"/>
        <v>0</v>
      </c>
      <c r="H80" s="24">
        <f t="shared" si="46"/>
        <v>0.9732142857142857</v>
      </c>
      <c r="I80" s="22">
        <f t="shared" si="47"/>
        <v>0</v>
      </c>
      <c r="J80" s="24">
        <f t="shared" si="48"/>
        <v>0</v>
      </c>
      <c r="K80" s="22">
        <f t="shared" si="49"/>
        <v>0</v>
      </c>
      <c r="L80" s="22">
        <f t="shared" si="50"/>
        <v>0</v>
      </c>
      <c r="M80" s="229">
        <f t="shared" si="42"/>
        <v>0</v>
      </c>
      <c r="N80" s="231">
        <v>5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2" t="str">
        <f t="shared" si="43"/>
        <v>Sheep sales - local: no. sold</v>
      </c>
      <c r="B81" s="75">
        <f t="shared" si="44"/>
        <v>0</v>
      </c>
      <c r="C81" s="75">
        <f t="shared" si="44"/>
        <v>0</v>
      </c>
      <c r="D81" s="24">
        <f t="shared" si="45"/>
        <v>0</v>
      </c>
      <c r="H81" s="24">
        <f t="shared" si="46"/>
        <v>0.9732142857142857</v>
      </c>
      <c r="I81" s="22">
        <f t="shared" si="47"/>
        <v>0</v>
      </c>
      <c r="J81" s="24">
        <f t="shared" si="48"/>
        <v>0</v>
      </c>
      <c r="K81" s="22">
        <f t="shared" si="49"/>
        <v>0</v>
      </c>
      <c r="L81" s="22">
        <f t="shared" si="50"/>
        <v>0</v>
      </c>
      <c r="M81" s="230">
        <f t="shared" si="42"/>
        <v>0</v>
      </c>
      <c r="N81" s="231">
        <v>5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2" t="str">
        <f t="shared" si="43"/>
        <v>Chicken sales: no. sold</v>
      </c>
      <c r="B82" s="75">
        <f t="shared" si="44"/>
        <v>1.8874490660024907E-2</v>
      </c>
      <c r="C82" s="75">
        <f t="shared" si="44"/>
        <v>0</v>
      </c>
      <c r="D82" s="24">
        <f t="shared" si="45"/>
        <v>1.8874490660024907E-2</v>
      </c>
      <c r="H82" s="24">
        <f t="shared" si="46"/>
        <v>0.9732142857142857</v>
      </c>
      <c r="I82" s="22">
        <f t="shared" si="47"/>
        <v>1.8368923945917097E-2</v>
      </c>
      <c r="J82" s="24">
        <f t="shared" si="48"/>
        <v>1.8368923945917097E-2</v>
      </c>
      <c r="K82" s="22">
        <f t="shared" si="49"/>
        <v>1.8874490660024907E-2</v>
      </c>
      <c r="L82" s="22">
        <f t="shared" si="50"/>
        <v>1.8368923945917097E-2</v>
      </c>
      <c r="M82" s="230">
        <f t="shared" si="42"/>
        <v>1.8368923945917097E-2</v>
      </c>
      <c r="N82" s="231">
        <v>5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2" t="str">
        <f t="shared" si="43"/>
        <v>Maize: kg produced</v>
      </c>
      <c r="B83" s="75">
        <f t="shared" si="44"/>
        <v>0</v>
      </c>
      <c r="C83" s="75">
        <f t="shared" si="44"/>
        <v>0</v>
      </c>
      <c r="D83" s="24">
        <f t="shared" si="45"/>
        <v>0</v>
      </c>
      <c r="H83" s="24">
        <f t="shared" si="46"/>
        <v>0.9107142857142857</v>
      </c>
      <c r="I83" s="22">
        <f t="shared" si="47"/>
        <v>0</v>
      </c>
      <c r="J83" s="24">
        <f t="shared" si="48"/>
        <v>0</v>
      </c>
      <c r="K83" s="22">
        <f t="shared" si="49"/>
        <v>0</v>
      </c>
      <c r="L83" s="22">
        <f t="shared" si="50"/>
        <v>0</v>
      </c>
      <c r="M83" s="230">
        <f t="shared" si="42"/>
        <v>0</v>
      </c>
      <c r="N83" s="231">
        <v>2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>
      <c r="A84" s="2" t="str">
        <f t="shared" si="43"/>
        <v>Cowpeas: kg produced</v>
      </c>
      <c r="B84" s="75">
        <f t="shared" si="44"/>
        <v>0</v>
      </c>
      <c r="C84" s="75">
        <f t="shared" si="44"/>
        <v>0</v>
      </c>
      <c r="D84" s="24">
        <f t="shared" si="45"/>
        <v>0</v>
      </c>
      <c r="H84" s="24">
        <f t="shared" si="46"/>
        <v>0.89285714285714279</v>
      </c>
      <c r="I84" s="22">
        <f t="shared" si="47"/>
        <v>0</v>
      </c>
      <c r="J84" s="24">
        <f t="shared" si="48"/>
        <v>0</v>
      </c>
      <c r="K84" s="22">
        <f t="shared" si="49"/>
        <v>0</v>
      </c>
      <c r="L84" s="22">
        <f t="shared" si="50"/>
        <v>0</v>
      </c>
      <c r="M84" s="230">
        <f t="shared" si="42"/>
        <v>0</v>
      </c>
      <c r="N84" s="231">
        <v>2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>
      <c r="A85" s="2" t="str">
        <f t="shared" si="43"/>
        <v>Pumpkin: kg produce</v>
      </c>
      <c r="B85" s="75">
        <f t="shared" si="44"/>
        <v>0</v>
      </c>
      <c r="C85" s="75">
        <f t="shared" si="44"/>
        <v>0</v>
      </c>
      <c r="D85" s="24">
        <f t="shared" si="45"/>
        <v>0</v>
      </c>
      <c r="H85" s="24">
        <f t="shared" si="46"/>
        <v>0.98214285714285721</v>
      </c>
      <c r="I85" s="22">
        <f t="shared" si="47"/>
        <v>0</v>
      </c>
      <c r="J85" s="24">
        <f t="shared" si="48"/>
        <v>0</v>
      </c>
      <c r="K85" s="22">
        <f t="shared" si="49"/>
        <v>0</v>
      </c>
      <c r="L85" s="22">
        <f t="shared" si="50"/>
        <v>0</v>
      </c>
      <c r="M85" s="230">
        <f t="shared" si="42"/>
        <v>0</v>
      </c>
      <c r="N85" s="231">
        <v>2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2" t="str">
        <f t="shared" si="43"/>
        <v>Cabbage: number produced</v>
      </c>
      <c r="B86" s="75">
        <f t="shared" si="44"/>
        <v>0</v>
      </c>
      <c r="C86" s="75">
        <f t="shared" si="44"/>
        <v>0</v>
      </c>
      <c r="D86" s="24">
        <f t="shared" si="45"/>
        <v>0</v>
      </c>
      <c r="H86" s="24">
        <f t="shared" si="46"/>
        <v>0.9642857142857143</v>
      </c>
      <c r="I86" s="22">
        <f t="shared" si="47"/>
        <v>0</v>
      </c>
      <c r="J86" s="24">
        <f t="shared" si="48"/>
        <v>0</v>
      </c>
      <c r="K86" s="22">
        <f t="shared" si="49"/>
        <v>0</v>
      </c>
      <c r="L86" s="22">
        <f t="shared" si="50"/>
        <v>0</v>
      </c>
      <c r="M86" s="230">
        <f t="shared" si="42"/>
        <v>0</v>
      </c>
      <c r="N86" s="231">
        <v>2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2" t="str">
        <f t="shared" si="43"/>
        <v>Tomato: kg produced</v>
      </c>
      <c r="B87" s="75">
        <f t="shared" si="44"/>
        <v>0</v>
      </c>
      <c r="C87" s="75">
        <f t="shared" si="44"/>
        <v>0</v>
      </c>
      <c r="D87" s="24">
        <f t="shared" si="45"/>
        <v>0</v>
      </c>
      <c r="H87" s="24">
        <f t="shared" si="46"/>
        <v>0.83928571428571419</v>
      </c>
      <c r="I87" s="22">
        <f t="shared" si="47"/>
        <v>0</v>
      </c>
      <c r="J87" s="24">
        <f>IF(I$24&lt;=1+I113,I87,L87+J$25*(I87-L87))</f>
        <v>0</v>
      </c>
      <c r="K87" s="22">
        <f t="shared" si="49"/>
        <v>0</v>
      </c>
      <c r="L87" s="22">
        <f t="shared" si="50"/>
        <v>0</v>
      </c>
      <c r="M87" s="230">
        <f t="shared" si="42"/>
        <v>0</v>
      </c>
      <c r="N87" s="231">
        <v>2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4" customHeight="1">
      <c r="A88" s="2" t="str">
        <f t="shared" si="43"/>
        <v>Onions: kg produced</v>
      </c>
      <c r="B88" s="75">
        <f t="shared" si="44"/>
        <v>0</v>
      </c>
      <c r="C88" s="75">
        <f t="shared" si="44"/>
        <v>0</v>
      </c>
      <c r="D88" s="24">
        <f t="shared" si="45"/>
        <v>0</v>
      </c>
      <c r="H88" s="24">
        <f t="shared" si="46"/>
        <v>0.83035714285714279</v>
      </c>
      <c r="I88" s="22">
        <f t="shared" si="47"/>
        <v>0</v>
      </c>
      <c r="J88" s="24">
        <f>IF(I$24&lt;=1+I113,I88,L88+J$25*(I88-L88))</f>
        <v>0</v>
      </c>
      <c r="K88" s="22">
        <f t="shared" si="49"/>
        <v>0</v>
      </c>
      <c r="L88" s="22">
        <f t="shared" si="50"/>
        <v>0</v>
      </c>
      <c r="M88" s="229">
        <f t="shared" si="42"/>
        <v>0</v>
      </c>
      <c r="N88" s="231">
        <v>2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 t="str">
        <f t="shared" si="43"/>
        <v>Beetroot: kg produced</v>
      </c>
      <c r="B89" s="75">
        <f t="shared" si="44"/>
        <v>0</v>
      </c>
      <c r="C89" s="75">
        <f t="shared" si="44"/>
        <v>0</v>
      </c>
      <c r="D89" s="24">
        <f t="shared" si="45"/>
        <v>0</v>
      </c>
      <c r="H89" s="24">
        <f t="shared" si="46"/>
        <v>0.89285714285714279</v>
      </c>
      <c r="I89" s="22">
        <f t="shared" si="47"/>
        <v>0</v>
      </c>
      <c r="J89" s="24">
        <f>IF(I$24&lt;=1+I113,I89,L89+J$25*(I89-L89))</f>
        <v>0</v>
      </c>
      <c r="K89" s="22">
        <f t="shared" si="49"/>
        <v>0</v>
      </c>
      <c r="L89" s="22">
        <f t="shared" si="50"/>
        <v>0</v>
      </c>
      <c r="M89" s="230">
        <f t="shared" si="42"/>
        <v>0</v>
      </c>
      <c r="N89" s="231">
        <v>2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tr">
        <f t="shared" si="43"/>
        <v>Spinach: kg produced</v>
      </c>
      <c r="B90" s="75">
        <f t="shared" si="44"/>
        <v>0</v>
      </c>
      <c r="C90" s="75">
        <f t="shared" si="44"/>
        <v>0</v>
      </c>
      <c r="D90" s="24">
        <f t="shared" si="45"/>
        <v>0</v>
      </c>
      <c r="H90" s="24">
        <f t="shared" si="46"/>
        <v>0.9196428571428571</v>
      </c>
      <c r="I90" s="22">
        <f t="shared" si="47"/>
        <v>0</v>
      </c>
      <c r="J90" s="24">
        <f>IF(I$24&lt;=1+I113,I90,L90+J$25*(I90-L90))</f>
        <v>0</v>
      </c>
      <c r="K90" s="22">
        <f t="shared" si="49"/>
        <v>0</v>
      </c>
      <c r="L90" s="22">
        <f t="shared" si="50"/>
        <v>0</v>
      </c>
      <c r="M90" s="230">
        <f t="shared" si="42"/>
        <v>0</v>
      </c>
      <c r="N90" s="231">
        <v>2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si="43"/>
        <v>WILD FOODS -- see worksheet Data 3</v>
      </c>
      <c r="B91" s="75">
        <f t="shared" si="44"/>
        <v>8.947906683271066E-2</v>
      </c>
      <c r="C91" s="75">
        <f t="shared" si="44"/>
        <v>1.5379214611872145E-2</v>
      </c>
      <c r="D91" s="24">
        <f t="shared" si="45"/>
        <v>0.10485828144458281</v>
      </c>
      <c r="H91" s="24">
        <f t="shared" si="46"/>
        <v>0.7142857142857143</v>
      </c>
      <c r="I91" s="22">
        <f t="shared" si="47"/>
        <v>7.4898772460416291E-2</v>
      </c>
      <c r="J91" s="24">
        <f>IF(I$24&lt;=1+I113,I91,L91+J$25*(I91-L91))</f>
        <v>7.4898772460416291E-2</v>
      </c>
      <c r="K91" s="22">
        <f t="shared" si="49"/>
        <v>8.947906683271066E-2</v>
      </c>
      <c r="L91" s="22">
        <f t="shared" si="50"/>
        <v>6.3913619166221902E-2</v>
      </c>
      <c r="M91" s="230">
        <f t="shared" si="42"/>
        <v>7.4898772460416291E-2</v>
      </c>
      <c r="N91" s="231">
        <v>6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43"/>
        <v>Agricultural cash income -- see Data2</v>
      </c>
      <c r="B92" s="75">
        <f t="shared" si="44"/>
        <v>0.21111467330842673</v>
      </c>
      <c r="C92" s="75">
        <f t="shared" si="44"/>
        <v>4.2222934661685342E-2</v>
      </c>
      <c r="D92" s="24">
        <f t="shared" si="45"/>
        <v>0.25333760797011207</v>
      </c>
      <c r="H92" s="24">
        <f t="shared" si="46"/>
        <v>0.86223214285714289</v>
      </c>
      <c r="I92" s="22">
        <f t="shared" si="47"/>
        <v>0.21843582858637253</v>
      </c>
      <c r="J92" s="24">
        <f>IF(I$24&lt;=1+I113,I92,L92+J$25*(I92-L92))</f>
        <v>0.21843582858637253</v>
      </c>
      <c r="K92" s="22">
        <f t="shared" si="49"/>
        <v>0.21111467330842673</v>
      </c>
      <c r="L92" s="22">
        <f t="shared" si="50"/>
        <v>0.18202985715531045</v>
      </c>
      <c r="M92" s="230">
        <f t="shared" si="42"/>
        <v>0.21843582858637253</v>
      </c>
      <c r="N92" s="231">
        <v>7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43"/>
        <v>Domestic work cash income -- see Data2</v>
      </c>
      <c r="B93" s="75">
        <f t="shared" si="44"/>
        <v>0.62914968866749688</v>
      </c>
      <c r="C93" s="75">
        <f t="shared" si="44"/>
        <v>0.12582993773349938</v>
      </c>
      <c r="D93" s="24">
        <f t="shared" si="45"/>
        <v>0.75497962640099625</v>
      </c>
      <c r="H93" s="24">
        <f t="shared" si="46"/>
        <v>0.98214285714285721</v>
      </c>
      <c r="I93" s="22">
        <f t="shared" si="47"/>
        <v>0.74149784735812141</v>
      </c>
      <c r="J93" s="24">
        <f>IF(I$24&lt;=1+I114,I93,L93+J$25*(I93-L93))</f>
        <v>0.59951723121741196</v>
      </c>
      <c r="K93" s="22">
        <f t="shared" si="49"/>
        <v>0.62914968866749688</v>
      </c>
      <c r="L93" s="22">
        <f t="shared" si="50"/>
        <v>0.61791487279843449</v>
      </c>
      <c r="M93" s="230">
        <f>(J93)</f>
        <v>0.59951723121741196</v>
      </c>
      <c r="N93" s="231">
        <v>7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43"/>
        <v>Formal Employment (conservancies, etc.)</v>
      </c>
      <c r="B94" s="75">
        <f t="shared" si="44"/>
        <v>0</v>
      </c>
      <c r="C94" s="75">
        <f t="shared" si="44"/>
        <v>0</v>
      </c>
      <c r="D94" s="24">
        <f t="shared" si="45"/>
        <v>0</v>
      </c>
      <c r="H94" s="24">
        <f t="shared" si="46"/>
        <v>0.95535714285714279</v>
      </c>
      <c r="I94" s="22">
        <f t="shared" si="47"/>
        <v>0</v>
      </c>
      <c r="J94" s="24">
        <f>IF(I$24&lt;=1+I115,I94,L94+J$25*(I94-L94))</f>
        <v>0</v>
      </c>
      <c r="K94" s="22">
        <f t="shared" si="49"/>
        <v>0</v>
      </c>
      <c r="L94" s="22">
        <f t="shared" si="50"/>
        <v>0</v>
      </c>
      <c r="M94" s="230">
        <f t="shared" si="42"/>
        <v>0</v>
      </c>
      <c r="N94" s="231">
        <v>8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43"/>
        <v>Self-employment -- see Data2</v>
      </c>
      <c r="B95" s="75">
        <f t="shared" si="44"/>
        <v>0.5033197509339975</v>
      </c>
      <c r="C95" s="75">
        <f t="shared" si="44"/>
        <v>0.10066395018679949</v>
      </c>
      <c r="D95" s="24">
        <f t="shared" si="45"/>
        <v>0.60398370112079702</v>
      </c>
      <c r="H95" s="24">
        <f t="shared" si="46"/>
        <v>0.98214285714285721</v>
      </c>
      <c r="I95" s="22">
        <f t="shared" si="47"/>
        <v>0.59319827788649715</v>
      </c>
      <c r="J95" s="24">
        <f>IF(I$24&lt;=1+I116,I95,L95+J$25*(I95-L95))</f>
        <v>0.47961378497392954</v>
      </c>
      <c r="K95" s="22">
        <f t="shared" si="49"/>
        <v>0.5033197509339975</v>
      </c>
      <c r="L95" s="22">
        <f t="shared" si="50"/>
        <v>0.49433189823874757</v>
      </c>
      <c r="M95" s="230">
        <f t="shared" si="42"/>
        <v>0.47961378497392954</v>
      </c>
      <c r="N95" s="231">
        <v>10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43"/>
        <v>Small business -- see Data2</v>
      </c>
      <c r="B96" s="75">
        <f t="shared" si="44"/>
        <v>0</v>
      </c>
      <c r="C96" s="75">
        <f t="shared" si="44"/>
        <v>0</v>
      </c>
      <c r="D96" s="24">
        <f t="shared" si="45"/>
        <v>0</v>
      </c>
      <c r="H96" s="24">
        <f t="shared" si="46"/>
        <v>0.9375</v>
      </c>
      <c r="I96" s="22">
        <f t="shared" si="47"/>
        <v>0</v>
      </c>
      <c r="J96" s="24">
        <f>IF(I$24&lt;=1+I113,I96,L96+J$25*(I96-L96))</f>
        <v>0</v>
      </c>
      <c r="K96" s="22">
        <f t="shared" si="49"/>
        <v>0</v>
      </c>
      <c r="L96" s="22">
        <f t="shared" si="50"/>
        <v>0</v>
      </c>
      <c r="M96" s="229">
        <f>(J96)</f>
        <v>0</v>
      </c>
      <c r="N96" s="231">
        <v>11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43"/>
        <v>Social Cash Transfers -- see Data2</v>
      </c>
      <c r="B97" s="75">
        <f t="shared" si="44"/>
        <v>2.7935516099232736</v>
      </c>
      <c r="C97" s="75">
        <f t="shared" si="44"/>
        <v>0</v>
      </c>
      <c r="D97" s="24">
        <f t="shared" si="45"/>
        <v>2.7935516099232736</v>
      </c>
      <c r="H97" s="24">
        <f t="shared" si="46"/>
        <v>0.99107142857142871</v>
      </c>
      <c r="I97" s="22">
        <f t="shared" si="47"/>
        <v>2.7686091848346734</v>
      </c>
      <c r="J97" s="24">
        <f>IF(I$24&lt;=1+I114,I97,L97+J$25*(I97-L97))</f>
        <v>2.7686091848346734</v>
      </c>
      <c r="K97" s="22">
        <f t="shared" si="49"/>
        <v>2.7935516099232736</v>
      </c>
      <c r="L97" s="22">
        <f t="shared" si="50"/>
        <v>2.7686091848346734</v>
      </c>
      <c r="M97" s="229">
        <f t="shared" si="42"/>
        <v>2.7686091848346734</v>
      </c>
      <c r="N97" s="231">
        <v>14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43"/>
        <v>Public works -- see Data2</v>
      </c>
      <c r="B98" s="75">
        <f t="shared" si="44"/>
        <v>0</v>
      </c>
      <c r="C98" s="75">
        <f t="shared" si="44"/>
        <v>0</v>
      </c>
      <c r="D98" s="24">
        <f t="shared" si="45"/>
        <v>0</v>
      </c>
      <c r="H98" s="24">
        <f t="shared" si="46"/>
        <v>0.95535714285714279</v>
      </c>
      <c r="I98" s="22">
        <f t="shared" si="47"/>
        <v>0</v>
      </c>
      <c r="J98" s="24">
        <f>IF(I$24&lt;=1+I115,I98,L98+J$25*(I98-L98))</f>
        <v>0</v>
      </c>
      <c r="K98" s="22">
        <f t="shared" si="49"/>
        <v>0</v>
      </c>
      <c r="L98" s="22">
        <f t="shared" si="50"/>
        <v>0</v>
      </c>
      <c r="M98" s="57">
        <f t="shared" si="42"/>
        <v>0</v>
      </c>
      <c r="N98" s="231">
        <v>9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43"/>
        <v>Other income: e.g. Credit (cotton loans)</v>
      </c>
      <c r="B99" s="75">
        <f t="shared" si="44"/>
        <v>6.2914968866749688E-2</v>
      </c>
      <c r="C99" s="75">
        <f t="shared" si="44"/>
        <v>0</v>
      </c>
      <c r="D99" s="24">
        <f t="shared" si="45"/>
        <v>6.2914968866749688E-2</v>
      </c>
      <c r="H99" s="24">
        <f t="shared" si="46"/>
        <v>0.89285714285714279</v>
      </c>
      <c r="I99" s="22">
        <f t="shared" si="47"/>
        <v>5.6174079345312218E-2</v>
      </c>
      <c r="J99" s="24">
        <f>IF(I$24&lt;=1+I116,I99,L99+J$25*(I99-L99))</f>
        <v>5.6174079345312218E-2</v>
      </c>
      <c r="K99" s="22">
        <f t="shared" si="49"/>
        <v>6.2914968866749688E-2</v>
      </c>
      <c r="L99" s="22">
        <f t="shared" si="50"/>
        <v>5.6174079345312218E-2</v>
      </c>
      <c r="M99" s="57">
        <f t="shared" si="42"/>
        <v>5.6174079345312218E-2</v>
      </c>
      <c r="N99" s="231">
        <v>16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43"/>
        <v>Remittances: no. times per year</v>
      </c>
      <c r="B100" s="75">
        <f t="shared" si="44"/>
        <v>0.335546500622665</v>
      </c>
      <c r="C100" s="75">
        <f t="shared" si="44"/>
        <v>0</v>
      </c>
      <c r="D100" s="24">
        <f t="shared" si="45"/>
        <v>0.335546500622665</v>
      </c>
      <c r="H100" s="24">
        <f t="shared" si="46"/>
        <v>0.9375</v>
      </c>
      <c r="I100" s="22">
        <f t="shared" si="47"/>
        <v>0.31457484433374844</v>
      </c>
      <c r="J100" s="24">
        <f>IF(I$24&lt;=1+I113,I100,L100+J$25*(I100-L100))</f>
        <v>0.31457484433374844</v>
      </c>
      <c r="K100" s="22">
        <f t="shared" si="49"/>
        <v>0.335546500622665</v>
      </c>
      <c r="L100" s="22">
        <f t="shared" si="50"/>
        <v>0.31457484433374844</v>
      </c>
      <c r="M100" s="57">
        <f t="shared" si="42"/>
        <v>0.31457484433374844</v>
      </c>
      <c r="N100" s="231">
        <v>15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">
        <v>33</v>
      </c>
      <c r="B101" s="22">
        <f>SUM(B78:B100)</f>
        <v>4.7138562707783995</v>
      </c>
      <c r="C101" s="22">
        <f>SUM(C78:C100)</f>
        <v>0.28409603719385634</v>
      </c>
      <c r="D101" s="24">
        <f>SUM(D78:D100)</f>
        <v>4.9979523079722563</v>
      </c>
      <c r="E101" s="22"/>
      <c r="F101" s="2"/>
      <c r="G101" s="2"/>
      <c r="H101" s="31"/>
      <c r="I101" s="22">
        <f>SUM(I78:I100)</f>
        <v>4.8500458717795825</v>
      </c>
      <c r="J101" s="24">
        <f>SUM(J78:J100)</f>
        <v>4.5944807627263051</v>
      </c>
      <c r="K101" s="22">
        <f>SUM(K78:K100)</f>
        <v>4.7138562707783995</v>
      </c>
      <c r="L101" s="22">
        <f>SUM(L78:L100)</f>
        <v>4.5802053928468895</v>
      </c>
      <c r="M101" s="57">
        <f t="shared" si="42"/>
        <v>4.5944807627263051</v>
      </c>
      <c r="N101" s="225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83"/>
      <c r="B102" s="83"/>
      <c r="C102" s="83"/>
      <c r="D102" s="10"/>
      <c r="E102" s="11"/>
      <c r="F102" s="11"/>
      <c r="G102" s="11"/>
      <c r="H102" s="10"/>
      <c r="I102" s="11"/>
      <c r="J102" s="62"/>
      <c r="K102" s="14"/>
      <c r="L102" s="11"/>
      <c r="M102" s="63"/>
      <c r="N102" s="58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>
      <c r="A103" s="73" t="str">
        <f>A54</f>
        <v>Expenditure : Very Poor HHs</v>
      </c>
      <c r="B103" s="2"/>
      <c r="C103" s="2"/>
      <c r="D103" s="31"/>
      <c r="E103" s="2"/>
      <c r="F103" s="2"/>
      <c r="G103" s="2"/>
      <c r="H103" s="31"/>
      <c r="I103" s="22"/>
      <c r="J103" s="18"/>
      <c r="L103" s="2"/>
      <c r="M103" s="57"/>
      <c r="N103" s="58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2"/>
      <c r="AC103" s="2"/>
      <c r="AD103" s="2"/>
      <c r="AE103" s="2"/>
      <c r="AF103" s="2"/>
      <c r="AG103" s="2"/>
      <c r="AM103" s="21"/>
      <c r="AN103" s="21"/>
      <c r="AO103" s="21"/>
      <c r="AV103" s="21"/>
      <c r="AW103" s="21"/>
      <c r="AX103" s="21"/>
      <c r="BC103" s="21"/>
      <c r="BD103" s="21"/>
      <c r="BE103" s="21"/>
      <c r="BL103" s="21"/>
      <c r="BM103" s="21"/>
      <c r="BN103" s="21"/>
      <c r="BS103" s="21"/>
      <c r="BT103" s="21"/>
      <c r="BU103" s="21"/>
      <c r="CA103" s="21"/>
      <c r="CB103" s="21"/>
      <c r="CC103" s="21"/>
      <c r="CH103" s="21"/>
      <c r="CI103" s="21"/>
      <c r="CJ103" s="21"/>
    </row>
    <row r="104" spans="1:88" ht="14" customHeight="1">
      <c r="A104" s="84"/>
      <c r="B104" s="19" t="s">
        <v>7</v>
      </c>
      <c r="C104" s="2"/>
      <c r="D104" s="16"/>
      <c r="H104" s="16" t="s">
        <v>12</v>
      </c>
      <c r="I104" s="19" t="s">
        <v>13</v>
      </c>
      <c r="J104" s="16" t="s">
        <v>14</v>
      </c>
      <c r="K104" s="19" t="s">
        <v>7</v>
      </c>
      <c r="L104" s="19" t="s">
        <v>15</v>
      </c>
      <c r="M104" s="57" t="str">
        <f t="shared" ref="M104:M112" si="51">(J104)</f>
        <v>Curr.</v>
      </c>
      <c r="N104" s="58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">
        <v>46</v>
      </c>
      <c r="B105" s="19" t="s">
        <v>36</v>
      </c>
      <c r="C105" s="2"/>
      <c r="D105" s="31"/>
      <c r="H105" s="16" t="s">
        <v>18</v>
      </c>
      <c r="I105" s="19" t="s">
        <v>36</v>
      </c>
      <c r="J105" s="16" t="s">
        <v>36</v>
      </c>
      <c r="K105" s="19" t="s">
        <v>36</v>
      </c>
      <c r="L105" s="19" t="s">
        <v>20</v>
      </c>
      <c r="M105" s="57" t="str">
        <f t="shared" si="51"/>
        <v>Expend</v>
      </c>
      <c r="N105" s="5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2"/>
      <c r="AC105" s="2"/>
      <c r="AD105" s="2"/>
      <c r="AE105" s="2"/>
      <c r="AF105" s="2"/>
      <c r="AG105" s="2"/>
    </row>
    <row r="106" spans="1:88" ht="14" customHeight="1">
      <c r="A106" s="64" t="s">
        <v>135</v>
      </c>
      <c r="B106" s="75">
        <f>IF($B$68=0,0,B57/$B$70)</f>
        <v>1.8842676655186643</v>
      </c>
      <c r="C106" s="2"/>
      <c r="D106" s="24"/>
      <c r="H106" s="24">
        <f>(E57*F57/G$29*F$7/F$9)</f>
        <v>1.0178571428571426</v>
      </c>
      <c r="I106" s="22">
        <f>IF(SUMPRODUCT($B$106:$B106,$H$106:$H106)&lt;I$101,($B106*$H106),I$101)</f>
        <v>1.9179153024029256</v>
      </c>
      <c r="J106" s="236">
        <f>IF(SUMPRODUCT($B$106:$B106,$H$106:$H106)&lt;J$101,($B106*$H106),J$101)</f>
        <v>1.9179153024029256</v>
      </c>
      <c r="K106" s="22">
        <f>(B106)</f>
        <v>1.8842676655186643</v>
      </c>
      <c r="L106" s="22">
        <f>IF(SUMPRODUCT($B$106:$B106,$H$106:$H106)&lt;L$101,($B106*$H106),L$101)</f>
        <v>1.9179153024029256</v>
      </c>
      <c r="M106" s="57">
        <f t="shared" si="51"/>
        <v>1.9179153024029256</v>
      </c>
      <c r="N106" s="58"/>
      <c r="O106" s="173">
        <f>B106*H106</f>
        <v>1.9179153024029256</v>
      </c>
      <c r="P106" s="171"/>
      <c r="Q106" s="172"/>
      <c r="R106" s="69"/>
      <c r="S106" s="2"/>
      <c r="T106" s="2"/>
      <c r="U106" s="2"/>
      <c r="V106" s="2"/>
      <c r="W106" s="2"/>
      <c r="X106" s="2"/>
      <c r="Y106" s="2"/>
      <c r="Z106" s="2"/>
      <c r="AA106" s="2"/>
      <c r="AB106" s="22"/>
      <c r="AC106" s="2"/>
      <c r="AD106" s="2"/>
      <c r="AE106" s="2"/>
      <c r="AF106" s="2"/>
      <c r="AG106" s="2"/>
    </row>
    <row r="107" spans="1:88" ht="14" customHeight="1">
      <c r="A107" s="64" t="s">
        <v>137</v>
      </c>
      <c r="B107" s="75">
        <f>IF($B$68=0,0,B58/$B$70)</f>
        <v>1.6335522138646741</v>
      </c>
      <c r="C107" s="2"/>
      <c r="D107" s="24"/>
      <c r="H107" s="24">
        <f>(E58*F58/G$29*F$7/F$9)</f>
        <v>0.99107142857142871</v>
      </c>
      <c r="I107" s="22">
        <f>IF(SUMPRODUCT($B$106:$B107,$H$106:$H107)&lt;I$101,($B107*$H107),IF(SUMPRODUCT($B$106:$B106,$H$106:$H106)&lt;I$101,I$101-SUMPRODUCT($B$106:$B106,$H$106:$H106),0))</f>
        <v>1.6189669262408826</v>
      </c>
      <c r="J107" s="236">
        <f>IF(SUMPRODUCT($B$106:$B107,$H$106:$H107)&lt;J$101,($B107*$H107),IF(SUMPRODUCT($B$106:$B106,$H$106:$H106)&lt;J$101,J$101-SUMPRODUCT($B$106:$B106,$H$106:$H106),0))</f>
        <v>1.6189669262408826</v>
      </c>
      <c r="K107" s="22">
        <f>(B107)</f>
        <v>1.6335522138646741</v>
      </c>
      <c r="L107" s="22">
        <f>IF(SUMPRODUCT($B$106:$B107,$H$106:$H107)&lt;L$101,($B107*$H107),IF(SUMPRODUCT($B$106:$B106,$H$106:$H106)&lt;L$101,L$101-SUMPRODUCT($B$106:$B106,$H$106:$H106),0))</f>
        <v>1.6189669262408826</v>
      </c>
      <c r="M107" s="57">
        <f t="shared" si="51"/>
        <v>1.6189669262408826</v>
      </c>
      <c r="N107" s="58"/>
      <c r="O107" s="173">
        <f>B107*H107</f>
        <v>1.6189669262408826</v>
      </c>
      <c r="Q107" s="2"/>
      <c r="R107" s="22"/>
      <c r="S107" s="2"/>
      <c r="T107" s="2"/>
      <c r="U107" s="2"/>
      <c r="V107" s="2"/>
      <c r="W107" s="2"/>
      <c r="X107" s="2"/>
      <c r="Y107" s="2"/>
      <c r="Z107" s="2"/>
      <c r="AA107" s="2"/>
      <c r="AB107" s="22"/>
      <c r="AC107" s="2"/>
      <c r="AD107" s="2"/>
      <c r="AE107" s="2"/>
      <c r="AF107" s="2"/>
      <c r="AG107" s="2"/>
    </row>
    <row r="108" spans="1:88" ht="14" customHeight="1">
      <c r="A108" s="64" t="s">
        <v>138</v>
      </c>
      <c r="B108" s="75">
        <f>IF($B$68=0,0,B59/$B$70)</f>
        <v>2.9091881603985055</v>
      </c>
      <c r="C108" s="2"/>
      <c r="D108" s="24"/>
      <c r="H108" s="24">
        <f t="shared" ref="H108:H109" si="52">(E59*F59/G$29*F$7/F$9)</f>
        <v>0.99107142857142871</v>
      </c>
      <c r="I108" s="22">
        <f>IF(SUMPRODUCT($B$106:$B108,$H$106:$H108)&lt;(I$101-I$110),($B108*$H108),IF(SUMPRODUCT($B$106:$B107,$H$106:$H107)&lt;(I$101-I$110),I$101-I$110-SUMPRODUCT($B$106:$B107,$H$106:$H107),0))</f>
        <v>0</v>
      </c>
      <c r="J108" s="236">
        <f>IF(SUMPRODUCT($B$106:$B108,$H$106:$H108)&lt;(J$101-J$110),($B108*$H108),IF(SUMPRODUCT($B$106:$B107,$H$106:$H107)&lt;(J$101-J$110),J$101-J$110-SUMPRODUCT($B$106:$B107,$H$106:$H107),0))</f>
        <v>0.7412014301953409</v>
      </c>
      <c r="K108" s="22">
        <f t="shared" ref="K108:K109" si="53">(B108)</f>
        <v>2.9091881603985055</v>
      </c>
      <c r="L108" s="22">
        <f>IF(SUMPRODUCT($B$106:$B108,$H$106:$H108)&lt;(L$101-L$110),($B108*$H108),IF(SUMPRODUCT($B$106:$B107,$H$106:$H107)&lt;(L$101-L$110),L$101-L$110-SUMPRODUCT($B$106:$B107,$H$106:$H107),0))</f>
        <v>0.39217660661691411</v>
      </c>
      <c r="M108" s="57">
        <f t="shared" si="51"/>
        <v>0.7412014301953409</v>
      </c>
      <c r="N108" s="58"/>
      <c r="O108" s="173"/>
      <c r="Q108" s="2"/>
      <c r="R108" s="22"/>
      <c r="S108" s="2"/>
      <c r="T108" s="2"/>
      <c r="U108" s="2"/>
      <c r="V108" s="2"/>
      <c r="W108" s="2"/>
      <c r="X108" s="2"/>
      <c r="Y108" s="2"/>
      <c r="Z108" s="2"/>
      <c r="AA108" s="2"/>
      <c r="AB108" s="22"/>
      <c r="AC108" s="2"/>
      <c r="AD108" s="2"/>
      <c r="AE108" s="2"/>
      <c r="AF108" s="2"/>
      <c r="AG108" s="2"/>
    </row>
    <row r="109" spans="1:88" ht="14" customHeight="1">
      <c r="A109" s="64" t="s">
        <v>139</v>
      </c>
      <c r="B109" s="75">
        <f>IF($B$68=0,0,B60/$B$70)</f>
        <v>0.13310011191365712</v>
      </c>
      <c r="C109" s="2"/>
      <c r="D109" s="24"/>
      <c r="H109" s="24">
        <f t="shared" si="52"/>
        <v>0.99107142857142871</v>
      </c>
      <c r="I109" s="22">
        <f>IF(SUMPRODUCT($B$106:$B109,$H$106:$H109)&lt;(I$101-I$110),($B109*$H109),IF(SUMPRODUCT($B$106:$B108,$H$106:$H108)&lt;(I$101-I110),I$101-I$110-SUMPRODUCT($B$106:$B108,$H$106:$H108),0))</f>
        <v>0</v>
      </c>
      <c r="J109" s="236">
        <f>IF(SUMPRODUCT($B$106:$B109,$H$106:$H109)&lt;(J$101-J$110),($B109*$H109),IF(SUMPRODUCT($B$106:$B108,$H$106:$H108)&lt;(J$101-J110),J$101-J$110-SUMPRODUCT($B$106:$B108,$H$106:$H108),0))</f>
        <v>0</v>
      </c>
      <c r="K109" s="22">
        <f t="shared" si="53"/>
        <v>0.13310011191365712</v>
      </c>
      <c r="L109" s="22">
        <f>IF(SUMPRODUCT($B$106:$B109,$H$106:$H109)&lt;(L$101-L$110),($B109*$H109),IF(SUMPRODUCT($B$106:$B108,$H$106:$H108)&lt;(L$101-L110),L$101-L$110-SUMPRODUCT($B$106:$B108,$H$106:$H108),0))</f>
        <v>0</v>
      </c>
      <c r="M109" s="57">
        <f t="shared" si="51"/>
        <v>0</v>
      </c>
      <c r="N109" s="58"/>
      <c r="O109" s="173"/>
      <c r="Q109" s="2"/>
      <c r="R109" s="22"/>
      <c r="S109" s="2"/>
      <c r="T109" s="2"/>
      <c r="U109" s="2"/>
      <c r="V109" s="2"/>
      <c r="W109" s="2"/>
      <c r="X109" s="2"/>
      <c r="Y109" s="2"/>
      <c r="Z109" s="2"/>
      <c r="AA109" s="2"/>
      <c r="AB109" s="22"/>
      <c r="AC109" s="2"/>
      <c r="AD109" s="2"/>
      <c r="AE109" s="2"/>
      <c r="AF109" s="2"/>
      <c r="AG109" s="2"/>
    </row>
    <row r="110" spans="1:88" ht="14" customHeight="1">
      <c r="A110" s="56" t="s">
        <v>37</v>
      </c>
      <c r="B110" s="22">
        <f>(B22)</f>
        <v>0.69206465753424673</v>
      </c>
      <c r="C110" s="2"/>
      <c r="D110" s="31"/>
      <c r="E110" s="2"/>
      <c r="F110" s="2"/>
      <c r="G110" s="2"/>
      <c r="H110" s="24"/>
      <c r="I110" s="22">
        <f>(I22)</f>
        <v>2.9321305693766568</v>
      </c>
      <c r="J110" s="237">
        <f>(J22)</f>
        <v>0.31639710388715581</v>
      </c>
      <c r="K110" s="22">
        <f>(B110)</f>
        <v>0.69206465753424673</v>
      </c>
      <c r="L110" s="22">
        <f>IF(L106=L101,0,(L101-L106)/(B101-B106)*K110)</f>
        <v>0.65114655758616724</v>
      </c>
      <c r="M110" s="57">
        <f t="shared" si="51"/>
        <v>0.31639710388715581</v>
      </c>
      <c r="N110" s="5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2"/>
      <c r="AC110" s="2"/>
      <c r="AD110" s="2"/>
      <c r="AE110" s="2"/>
      <c r="AF110" s="2"/>
      <c r="AG110" s="2"/>
    </row>
    <row r="111" spans="1:88" ht="14" customHeight="1">
      <c r="A111" s="56" t="s">
        <v>57</v>
      </c>
      <c r="B111" s="29">
        <f>(B112-B106-B107-B108-B109-B110)</f>
        <v>-2.5383165384513484</v>
      </c>
      <c r="C111" s="2"/>
      <c r="D111" s="31"/>
      <c r="E111" s="2"/>
      <c r="F111" s="2"/>
      <c r="G111" s="2"/>
      <c r="H111" s="24"/>
      <c r="I111" s="22"/>
      <c r="J111" s="237">
        <f>(J112-J106-J107-J108-J109-J110)</f>
        <v>2.2204460492503131E-16</v>
      </c>
      <c r="K111" s="22">
        <f>(B111)</f>
        <v>-2.5383165384513484</v>
      </c>
      <c r="L111" s="75">
        <f>(L112-L106-L107-L108-L109-L110)</f>
        <v>0</v>
      </c>
      <c r="M111" s="57">
        <f t="shared" si="51"/>
        <v>2.2204460492503131E-16</v>
      </c>
      <c r="N111" s="5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2"/>
      <c r="AC111" s="2"/>
      <c r="AD111" s="2"/>
      <c r="AE111" s="2"/>
      <c r="AF111" s="2"/>
      <c r="AG111" s="2"/>
    </row>
    <row r="112" spans="1:88" ht="14" customHeight="1">
      <c r="A112" s="2" t="s">
        <v>33</v>
      </c>
      <c r="B112" s="22">
        <f>(B101)</f>
        <v>4.7138562707783995</v>
      </c>
      <c r="C112" s="2"/>
      <c r="D112" s="31"/>
      <c r="E112" s="2"/>
      <c r="F112" s="2"/>
      <c r="G112" s="2"/>
      <c r="H112" s="24"/>
      <c r="I112" s="22">
        <f>(I101)</f>
        <v>4.8500458717795825</v>
      </c>
      <c r="J112" s="237">
        <f>(J101)</f>
        <v>4.5944807627263051</v>
      </c>
      <c r="K112" s="22">
        <f>(B112)</f>
        <v>4.7138562707783995</v>
      </c>
      <c r="L112" s="22">
        <f>(L101)</f>
        <v>4.5802053928468895</v>
      </c>
      <c r="M112" s="57">
        <f t="shared" si="51"/>
        <v>4.5944807627263051</v>
      </c>
      <c r="N112" s="5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2"/>
      <c r="AC112" s="2"/>
      <c r="AD112" s="2"/>
      <c r="AE112" s="2"/>
      <c r="AF112" s="2"/>
      <c r="AG112" s="2"/>
    </row>
    <row r="113" spans="1:33" ht="14" customHeight="1">
      <c r="A113" s="2" t="s">
        <v>38</v>
      </c>
      <c r="B113" s="22"/>
      <c r="C113" s="2"/>
      <c r="D113" s="31"/>
      <c r="E113" s="2"/>
      <c r="F113" s="2"/>
      <c r="G113" s="2"/>
      <c r="H113" s="24"/>
      <c r="I113" s="22">
        <f>IF(SUMPRODUCT($B106:$B109,$H106:$H109)&gt;(I101-I110),SUMPRODUCT($B106:$B109,$H106:$H109)+I110-I101,0)</f>
        <v>4.6340919104074016</v>
      </c>
      <c r="J113" s="236">
        <f>IF(SUMPRODUCT($B106:$B109,$H106:$H109)&gt;(J101-J110),SUMPRODUCT($B106:$B109,$H106:$H109)+J110-J101,0)</f>
        <v>2.2739235539711782</v>
      </c>
      <c r="K113" s="22"/>
      <c r="L113" s="22">
        <f>I113-(SUM(L108:L109))</f>
        <v>4.2419153037904875</v>
      </c>
      <c r="M113" s="236">
        <f>I113-(SUM(M108:M109))</f>
        <v>3.8928904802120607</v>
      </c>
      <c r="N113" s="5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2"/>
      <c r="AC113" s="2"/>
      <c r="AD113" s="2"/>
      <c r="AE113" s="2"/>
      <c r="AF113" s="2"/>
      <c r="AG113" s="2"/>
    </row>
    <row r="114" spans="1:33" ht="14" customHeight="1">
      <c r="A114" s="14"/>
      <c r="B114" s="14"/>
      <c r="C114" s="14"/>
      <c r="D114" s="12"/>
      <c r="E114" s="14"/>
      <c r="F114" s="14"/>
      <c r="G114" s="14"/>
      <c r="H114" s="12"/>
      <c r="I114" s="14"/>
      <c r="J114" s="12"/>
      <c r="K114" s="14"/>
      <c r="L114" s="14"/>
      <c r="M114" s="66"/>
      <c r="N114" s="58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L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B125" s="22"/>
      <c r="C125" s="22"/>
      <c r="D125" s="2"/>
      <c r="E125" s="2"/>
      <c r="F125" s="2"/>
      <c r="G125" s="2"/>
      <c r="H125" s="2"/>
      <c r="I125" s="22"/>
      <c r="J125" s="2"/>
      <c r="L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68"/>
      <c r="AC125" s="2"/>
      <c r="AD125" s="2"/>
      <c r="AE125" s="2"/>
      <c r="AF125" s="2"/>
      <c r="AG125" s="2"/>
    </row>
    <row r="126" spans="1:33">
      <c r="B126" s="22"/>
      <c r="C126" s="22"/>
      <c r="D126" s="2"/>
      <c r="E126" s="2"/>
      <c r="F126" s="2"/>
      <c r="G126" s="2"/>
      <c r="H126" s="2"/>
      <c r="I126" s="2"/>
      <c r="J126" s="2"/>
      <c r="L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68"/>
      <c r="AC126" s="2"/>
      <c r="AD126" s="2"/>
      <c r="AE126" s="2"/>
      <c r="AF126" s="2"/>
      <c r="AG126" s="2"/>
    </row>
    <row r="127" spans="1:33">
      <c r="B127" s="22"/>
      <c r="C127" s="22"/>
      <c r="D127" s="2"/>
      <c r="E127" s="2"/>
      <c r="F127" s="2"/>
      <c r="G127" s="2"/>
      <c r="H127" s="2"/>
      <c r="I127" s="22"/>
      <c r="J127" s="2"/>
      <c r="L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68"/>
      <c r="AC127" s="2"/>
      <c r="AD127" s="2"/>
      <c r="AE127" s="2"/>
      <c r="AF127" s="2"/>
      <c r="AG127" s="2"/>
    </row>
    <row r="128" spans="1:33">
      <c r="B128" s="2"/>
      <c r="C128" s="2"/>
      <c r="D128" s="2"/>
      <c r="E128" s="2"/>
      <c r="F128" s="2"/>
      <c r="G128" s="2"/>
      <c r="H128" s="2"/>
      <c r="I128" s="2"/>
      <c r="J128" s="2"/>
      <c r="L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68"/>
      <c r="AC128" s="2"/>
      <c r="AD128" s="2"/>
      <c r="AE128" s="2"/>
      <c r="AF128" s="2"/>
      <c r="AG128" s="2"/>
    </row>
    <row r="129" spans="1:33">
      <c r="B129" s="22"/>
      <c r="C129" s="22"/>
      <c r="D129" s="2"/>
      <c r="E129" s="2"/>
      <c r="F129" s="2"/>
      <c r="G129" s="2"/>
      <c r="H129" s="2"/>
      <c r="I129" s="2"/>
      <c r="J129" s="2"/>
      <c r="L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68"/>
      <c r="AC129" s="2"/>
      <c r="AD129" s="2"/>
      <c r="AE129" s="2"/>
      <c r="AF129" s="2"/>
      <c r="AG129" s="2"/>
    </row>
    <row r="130" spans="1:33">
      <c r="B130" s="22"/>
      <c r="C130" s="22"/>
      <c r="D130" s="2"/>
      <c r="E130" s="2"/>
      <c r="F130" s="2"/>
      <c r="G130" s="2"/>
      <c r="H130" s="2"/>
      <c r="I130" s="2"/>
      <c r="J130" s="2"/>
      <c r="L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68"/>
      <c r="AC130" s="2"/>
      <c r="AD130" s="2"/>
      <c r="AE130" s="2"/>
      <c r="AF130" s="2"/>
      <c r="AG130" s="2"/>
    </row>
    <row r="131" spans="1:33">
      <c r="B131" s="22"/>
      <c r="C131" s="22"/>
      <c r="D131" s="2"/>
      <c r="E131" s="2"/>
      <c r="F131" s="2"/>
      <c r="G131" s="2"/>
      <c r="H131" s="2"/>
      <c r="I131" s="2"/>
      <c r="J131" s="2"/>
      <c r="L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68"/>
      <c r="AC131" s="2"/>
      <c r="AD131" s="2"/>
      <c r="AE131" s="2"/>
      <c r="AF131" s="2"/>
      <c r="AG131" s="2"/>
    </row>
    <row r="132" spans="1:33">
      <c r="B132" s="22"/>
      <c r="C132" s="22"/>
      <c r="D132" s="2"/>
      <c r="E132" s="2"/>
      <c r="F132" s="2"/>
      <c r="G132" s="2"/>
      <c r="H132" s="2"/>
      <c r="I132" s="2"/>
      <c r="J132" s="2"/>
      <c r="L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68"/>
      <c r="AC132" s="2"/>
      <c r="AD132" s="2"/>
      <c r="AE132" s="2"/>
      <c r="AF132" s="2"/>
      <c r="AG132" s="2"/>
    </row>
    <row r="133" spans="1:33">
      <c r="B133" s="22"/>
      <c r="C133" s="22"/>
      <c r="D133" s="2"/>
      <c r="E133" s="2"/>
      <c r="F133" s="2"/>
      <c r="G133" s="2"/>
      <c r="H133" s="2"/>
      <c r="I133" s="2"/>
      <c r="J133" s="2"/>
      <c r="L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68"/>
      <c r="AC133" s="2"/>
      <c r="AD133" s="2"/>
      <c r="AE133" s="2"/>
      <c r="AF133" s="2"/>
      <c r="AG133" s="2"/>
    </row>
    <row r="134" spans="1:33">
      <c r="B134" s="22"/>
      <c r="C134" s="22"/>
      <c r="D134" s="2"/>
      <c r="E134" s="2"/>
      <c r="F134" s="2"/>
      <c r="G134" s="2"/>
      <c r="H134" s="2"/>
      <c r="I134" s="2"/>
      <c r="J134" s="2"/>
      <c r="L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68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L135" s="2"/>
      <c r="O135" s="2"/>
      <c r="P135" s="2"/>
      <c r="Q135" s="2"/>
      <c r="R135" s="2"/>
      <c r="S135" s="2"/>
      <c r="T135" s="2"/>
      <c r="U135" s="2"/>
      <c r="V135" s="2"/>
      <c r="W135" s="69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3"/>
      <c r="B136" s="2"/>
      <c r="C136" s="2"/>
      <c r="D136" s="2"/>
      <c r="E136" s="2"/>
      <c r="F136" s="2"/>
      <c r="H136" s="2"/>
      <c r="I136" s="2"/>
      <c r="J136" s="2"/>
      <c r="L136" s="2"/>
      <c r="W136" s="71"/>
    </row>
    <row r="137" spans="1:33">
      <c r="A137" s="2"/>
      <c r="B137" s="2"/>
      <c r="C137" s="2"/>
      <c r="D137" s="2"/>
      <c r="E137" s="2"/>
      <c r="F137" s="2"/>
      <c r="H137" s="2"/>
      <c r="I137" s="2"/>
      <c r="J137" s="2"/>
      <c r="L137" s="2"/>
      <c r="W137" s="71"/>
    </row>
    <row r="138" spans="1:33">
      <c r="A138" s="2"/>
      <c r="B138" s="2"/>
      <c r="C138" s="2"/>
      <c r="D138" s="2"/>
      <c r="E138" s="2"/>
      <c r="F138" s="2"/>
      <c r="H138" s="2"/>
      <c r="I138" s="2"/>
      <c r="J138" s="2"/>
      <c r="L138" s="2"/>
      <c r="W138" s="71"/>
    </row>
    <row r="139" spans="1:33">
      <c r="A139" s="22"/>
      <c r="B139" s="2"/>
      <c r="C139" s="2"/>
      <c r="D139" s="2"/>
      <c r="E139" s="2"/>
      <c r="F139" s="2"/>
      <c r="H139" s="2"/>
      <c r="I139" s="2"/>
      <c r="J139" s="2"/>
      <c r="L139" s="2"/>
      <c r="W139" s="71"/>
    </row>
    <row r="140" spans="1:33">
      <c r="A140" s="2"/>
      <c r="B140" s="2"/>
      <c r="C140" s="2"/>
      <c r="D140" s="2"/>
      <c r="E140" s="2"/>
      <c r="F140" s="2"/>
      <c r="H140" s="2"/>
      <c r="I140" s="2"/>
      <c r="J140" s="2"/>
      <c r="L140" s="2"/>
      <c r="W140" s="71"/>
    </row>
    <row r="141" spans="1:33">
      <c r="A141" s="2"/>
      <c r="B141" s="2"/>
      <c r="C141" s="2"/>
      <c r="D141" s="2"/>
      <c r="E141" s="2"/>
      <c r="F141" s="2"/>
      <c r="H141" s="2"/>
      <c r="I141" s="2"/>
      <c r="J141" s="2"/>
      <c r="L141" s="2"/>
    </row>
    <row r="142" spans="1:33">
      <c r="A142" s="2"/>
      <c r="B142" s="2"/>
      <c r="C142" s="2"/>
      <c r="D142" s="2"/>
      <c r="E142" s="2"/>
      <c r="F142" s="2"/>
      <c r="H142" s="2"/>
      <c r="I142" s="2"/>
      <c r="J142" s="2"/>
      <c r="L142" s="2"/>
    </row>
    <row r="143" spans="1:33">
      <c r="A143" s="2"/>
      <c r="B143" s="2"/>
      <c r="C143" s="2"/>
      <c r="D143" s="2"/>
      <c r="E143" s="2"/>
      <c r="F143" s="2"/>
      <c r="H143" s="2"/>
      <c r="I143" s="2"/>
      <c r="J143" s="2"/>
      <c r="L143" s="2"/>
      <c r="AB143" s="71"/>
    </row>
    <row r="144" spans="1:33">
      <c r="A144" s="2"/>
      <c r="B144" s="2"/>
      <c r="C144" s="2"/>
      <c r="D144" s="2"/>
      <c r="E144" s="2"/>
      <c r="F144" s="2"/>
      <c r="H144" s="2"/>
      <c r="I144" s="2"/>
      <c r="J144" s="2"/>
      <c r="L144" s="2"/>
      <c r="AB144" s="71"/>
    </row>
    <row r="145" spans="1:28">
      <c r="A145" s="2"/>
      <c r="B145" s="2"/>
      <c r="C145" s="2"/>
      <c r="D145" s="2"/>
      <c r="E145" s="2"/>
      <c r="F145" s="2"/>
      <c r="H145" s="2"/>
      <c r="I145" s="2"/>
      <c r="J145" s="2"/>
      <c r="L145" s="2"/>
      <c r="AB145" s="71"/>
    </row>
    <row r="146" spans="1:28">
      <c r="A146" s="2"/>
      <c r="B146" s="2"/>
      <c r="C146" s="2"/>
      <c r="D146" s="2"/>
      <c r="E146" s="2"/>
      <c r="F146" s="2"/>
      <c r="H146" s="2"/>
      <c r="I146" s="2"/>
      <c r="J146" s="2"/>
      <c r="L146" s="2"/>
      <c r="AB146" s="71"/>
    </row>
    <row r="147" spans="1:28">
      <c r="A147" s="2"/>
      <c r="B147" s="2"/>
      <c r="C147" s="2"/>
      <c r="D147" s="2"/>
      <c r="E147" s="2"/>
      <c r="F147" s="2"/>
      <c r="H147" s="2"/>
      <c r="I147" s="2"/>
      <c r="J147" s="2"/>
      <c r="L147" s="2"/>
      <c r="W147" s="72"/>
      <c r="AB147" s="71"/>
    </row>
    <row r="148" spans="1:28">
      <c r="A148" s="2"/>
      <c r="B148" s="2"/>
      <c r="C148" s="2"/>
      <c r="D148" s="2"/>
      <c r="E148" s="2"/>
      <c r="F148" s="2"/>
      <c r="H148" s="2"/>
      <c r="I148" s="2"/>
      <c r="J148" s="2"/>
      <c r="L148" s="2"/>
      <c r="W148" s="72"/>
      <c r="AB148" s="71"/>
    </row>
    <row r="149" spans="1:28">
      <c r="A149" s="2"/>
      <c r="B149" s="2"/>
      <c r="C149" s="2"/>
      <c r="D149" s="2"/>
      <c r="E149" s="2"/>
      <c r="F149" s="2"/>
      <c r="H149" s="2"/>
      <c r="I149" s="2"/>
      <c r="J149" s="2"/>
      <c r="L149" s="2"/>
      <c r="AB149" s="71"/>
    </row>
    <row r="150" spans="1:28">
      <c r="A150" s="2"/>
      <c r="B150" s="2"/>
      <c r="C150" s="2"/>
      <c r="D150" s="2"/>
      <c r="E150" s="2"/>
      <c r="F150" s="2"/>
      <c r="H150" s="2"/>
      <c r="I150" s="2"/>
      <c r="J150" s="2"/>
      <c r="L150" s="2"/>
      <c r="AB150" s="71"/>
    </row>
    <row r="151" spans="1:28">
      <c r="A151" s="2"/>
      <c r="B151" s="2"/>
      <c r="C151" s="2"/>
      <c r="D151" s="2"/>
      <c r="E151" s="2"/>
      <c r="F151" s="2"/>
      <c r="H151" s="2"/>
      <c r="I151" s="2"/>
      <c r="J151" s="2"/>
      <c r="L151" s="2"/>
      <c r="AB151" s="71"/>
    </row>
    <row r="152" spans="1:28">
      <c r="A152" s="2"/>
      <c r="B152" s="2"/>
      <c r="C152" s="2"/>
      <c r="D152" s="2"/>
      <c r="E152" s="2"/>
      <c r="F152" s="2"/>
      <c r="H152" s="2"/>
      <c r="I152" s="2"/>
      <c r="J152" s="2"/>
      <c r="L152" s="2"/>
    </row>
    <row r="153" spans="1:28">
      <c r="A153" s="2"/>
      <c r="B153" s="2"/>
      <c r="C153" s="2"/>
      <c r="D153" s="2"/>
      <c r="E153" s="2"/>
      <c r="F153" s="2"/>
      <c r="H153" s="2"/>
      <c r="I153" s="2"/>
      <c r="J153" s="2"/>
      <c r="L153" s="2"/>
      <c r="W153" s="72"/>
      <c r="AB153" s="71"/>
    </row>
    <row r="154" spans="1:28">
      <c r="A154" s="2"/>
      <c r="B154" s="2"/>
      <c r="C154" s="2"/>
      <c r="D154" s="2"/>
      <c r="E154" s="2"/>
      <c r="F154" s="2"/>
      <c r="H154" s="2"/>
      <c r="I154" s="2"/>
      <c r="J154" s="2"/>
      <c r="L154" s="2"/>
      <c r="W154" s="72"/>
    </row>
    <row r="155" spans="1:28">
      <c r="A155" s="2"/>
      <c r="B155" s="2"/>
      <c r="C155" s="2"/>
      <c r="D155" s="2"/>
      <c r="E155" s="2"/>
      <c r="F155" s="2"/>
      <c r="H155" s="2"/>
      <c r="I155" s="2"/>
      <c r="J155" s="2"/>
      <c r="L155" s="2"/>
    </row>
    <row r="156" spans="1:28">
      <c r="A156" s="2"/>
      <c r="B156" s="2"/>
      <c r="C156" s="2"/>
      <c r="D156" s="2"/>
      <c r="E156" s="2"/>
      <c r="F156" s="2"/>
      <c r="H156" s="2"/>
      <c r="I156" s="2"/>
      <c r="J156" s="2"/>
      <c r="L156" s="2"/>
    </row>
    <row r="157" spans="1:28">
      <c r="A157" s="2"/>
      <c r="B157" s="2"/>
      <c r="C157" s="2"/>
      <c r="D157" s="2"/>
      <c r="E157" s="2"/>
      <c r="F157" s="2"/>
      <c r="H157" s="2"/>
      <c r="I157" s="2"/>
      <c r="J157" s="2"/>
      <c r="L157" s="2"/>
      <c r="AB157" s="71"/>
    </row>
    <row r="158" spans="1:28">
      <c r="A158" s="2"/>
      <c r="B158" s="2"/>
      <c r="C158" s="2"/>
      <c r="D158" s="2"/>
      <c r="E158" s="2"/>
      <c r="F158" s="2"/>
      <c r="H158" s="2"/>
      <c r="I158" s="2"/>
      <c r="J158" s="2"/>
      <c r="L158" s="2"/>
      <c r="AB158" s="71"/>
    </row>
    <row r="159" spans="1:28">
      <c r="A159" s="2"/>
      <c r="B159" s="2"/>
      <c r="C159" s="2"/>
      <c r="D159" s="2"/>
      <c r="E159" s="2"/>
      <c r="F159" s="2"/>
      <c r="H159" s="2"/>
      <c r="I159" s="2"/>
      <c r="J159" s="2"/>
      <c r="L159" s="2"/>
      <c r="W159" s="72"/>
      <c r="AB159" s="71"/>
    </row>
    <row r="160" spans="1:28">
      <c r="A160" s="2"/>
      <c r="B160" s="2"/>
      <c r="C160" s="2"/>
      <c r="D160" s="2"/>
      <c r="E160" s="2"/>
      <c r="F160" s="2"/>
      <c r="H160" s="2"/>
      <c r="I160" s="2"/>
      <c r="J160" s="2"/>
      <c r="L160" s="2"/>
      <c r="W160" s="72"/>
      <c r="AB160" s="71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</row>
    <row r="167" spans="1:28">
      <c r="AB167" s="71"/>
    </row>
    <row r="168" spans="1:28">
      <c r="AB168" s="71"/>
    </row>
    <row r="169" spans="1:28">
      <c r="AB169" s="71"/>
    </row>
    <row r="170" spans="1:28">
      <c r="AB170" s="71"/>
    </row>
    <row r="171" spans="1:28">
      <c r="W171" s="72"/>
      <c r="AB171" s="71"/>
    </row>
    <row r="172" spans="1:28">
      <c r="W172" s="72"/>
      <c r="AB172" s="71"/>
    </row>
    <row r="173" spans="1:28">
      <c r="W173" s="72"/>
    </row>
    <row r="175" spans="1:28">
      <c r="AB175" s="71"/>
    </row>
    <row r="176" spans="1:28">
      <c r="AB176" s="71"/>
    </row>
    <row r="177" spans="23:28">
      <c r="AB177" s="71"/>
    </row>
    <row r="178" spans="23:28">
      <c r="AB178" s="71"/>
    </row>
    <row r="179" spans="23:28">
      <c r="AB179" s="71"/>
    </row>
    <row r="180" spans="23:28">
      <c r="W180" s="72"/>
      <c r="AB180" s="71"/>
    </row>
    <row r="181" spans="23:28">
      <c r="W181" s="72"/>
    </row>
    <row r="182" spans="23:28">
      <c r="W182" s="72"/>
    </row>
    <row r="189" spans="23:28">
      <c r="W189" s="72"/>
    </row>
    <row r="190" spans="23:28">
      <c r="W190" s="72"/>
    </row>
    <row r="191" spans="23:28">
      <c r="W191" s="72"/>
    </row>
    <row r="201" spans="23:23">
      <c r="W201" s="72"/>
    </row>
    <row r="202" spans="23:23">
      <c r="W202" s="72"/>
    </row>
    <row r="203" spans="23:23">
      <c r="W203" s="72"/>
    </row>
    <row r="210" spans="23:23">
      <c r="W210" s="72"/>
    </row>
    <row r="211" spans="23:23">
      <c r="W211" s="72"/>
    </row>
    <row r="212" spans="23:23">
      <c r="W212" s="72"/>
    </row>
    <row r="219" spans="23:23">
      <c r="W219" s="72"/>
    </row>
    <row r="220" spans="23:23">
      <c r="W220" s="72"/>
    </row>
    <row r="221" spans="23:23">
      <c r="W221" s="72"/>
    </row>
    <row r="231" spans="23:23">
      <c r="W231" s="72"/>
    </row>
    <row r="232" spans="23:23">
      <c r="W232" s="72"/>
    </row>
    <row r="233" spans="23:23">
      <c r="W233" s="72"/>
    </row>
    <row r="240" spans="23:23">
      <c r="W240" s="72"/>
    </row>
    <row r="241" spans="23:23">
      <c r="W241" s="72"/>
    </row>
    <row r="242" spans="23:23">
      <c r="W242" s="72"/>
    </row>
    <row r="249" spans="23:23">
      <c r="W249" s="72"/>
    </row>
    <row r="250" spans="23:23">
      <c r="W250" s="72"/>
    </row>
    <row r="251" spans="23:23">
      <c r="W251" s="72"/>
    </row>
  </sheetData>
  <sheetProtection sheet="1" objects="1" scenarios="1" formatCells="0" formatColumns="0" formatRow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19" val="1" numFmtId="9"/>
      <inputCells r="E20" val="1" numFmtId="9"/>
      <inputCells r="E21" val="1" numFmtId="9"/>
      <inputCells r="E32" val="1" numFmtId="9"/>
      <inputCells r="E36" val="1" numFmtId="9"/>
      <inputCells r="E37" val="1" numFmtId="9"/>
      <inputCells r="E38" val="1" numFmtId="9"/>
      <inputCells r="E51" val="1" numFmtId="9"/>
      <inputCells r="F30" val="1" numFmtId="9"/>
      <inputCells r="F31" val="2" numFmtId="9"/>
      <inputCells r="F32" val="1.25" numFmtId="9"/>
      <inputCells r="F36" val="1" numFmtId="9"/>
      <inputCells r="F37" val="0.4" numFmtId="9"/>
      <inputCells r="F38" val="1" numFmtId="9"/>
      <inputCells r="F51" val="1" numFmtId="9"/>
      <inputCells r="F29" val="2.5" numFmtId="9"/>
      <inputCells r="G29" val="2" numFmtId="9"/>
      <inputCells r="F57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19" val="1" numFmtId="9"/>
      <inputCells r="E20" val="1" numFmtId="9"/>
      <inputCells r="E21" val="1" numFmtId="9"/>
      <inputCells r="E32" val="1" numFmtId="9"/>
      <inputCells r="E36" val="1" numFmtId="9"/>
      <inputCells r="E37" val="1" numFmtId="9"/>
      <inputCells r="E38" val="1" numFmtId="9"/>
      <inputCells r="E51" val="1" numFmtId="9"/>
      <inputCells r="F29" val="1" numFmtId="9"/>
      <inputCells r="F30" val="1" numFmtId="9"/>
      <inputCells r="F31" val="1" numFmtId="9"/>
      <inputCells r="F32" val="1" numFmtId="9"/>
      <inputCells r="F36" val="1" numFmtId="9"/>
      <inputCells r="F37" val="1" numFmtId="9"/>
      <inputCells r="F38" val="1" numFmtId="9"/>
      <inputCells r="F51" val="1" numFmtId="9"/>
      <inputCells r="G29" val="1" numFmtId="9"/>
      <inputCells r="F57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351" priority="81" operator="equal">
      <formula>16</formula>
    </cfRule>
    <cfRule type="cellIs" dxfId="350" priority="82" operator="equal">
      <formula>15</formula>
    </cfRule>
    <cfRule type="cellIs" dxfId="349" priority="83" operator="equal">
      <formula>14</formula>
    </cfRule>
    <cfRule type="cellIs" dxfId="348" priority="84" operator="equal">
      <formula>13</formula>
    </cfRule>
    <cfRule type="cellIs" dxfId="347" priority="85" operator="equal">
      <formula>12</formula>
    </cfRule>
    <cfRule type="cellIs" dxfId="346" priority="86" operator="equal">
      <formula>11</formula>
    </cfRule>
    <cfRule type="cellIs" dxfId="345" priority="87" operator="equal">
      <formula>10</formula>
    </cfRule>
    <cfRule type="cellIs" dxfId="344" priority="88" operator="equal">
      <formula>9</formula>
    </cfRule>
    <cfRule type="cellIs" dxfId="343" priority="89" operator="equal">
      <formula>8</formula>
    </cfRule>
    <cfRule type="cellIs" dxfId="342" priority="90" operator="equal">
      <formula>7</formula>
    </cfRule>
    <cfRule type="cellIs" dxfId="341" priority="91" operator="equal">
      <formula>6</formula>
    </cfRule>
    <cfRule type="cellIs" dxfId="340" priority="92" operator="equal">
      <formula>5</formula>
    </cfRule>
    <cfRule type="cellIs" dxfId="339" priority="93" operator="equal">
      <formula>4</formula>
    </cfRule>
    <cfRule type="cellIs" dxfId="338" priority="94" operator="equal">
      <formula>3</formula>
    </cfRule>
    <cfRule type="cellIs" dxfId="337" priority="95" operator="equal">
      <formula>2</formula>
    </cfRule>
    <cfRule type="cellIs" dxfId="336" priority="96" operator="equal">
      <formula>1</formula>
    </cfRule>
  </conditionalFormatting>
  <conditionalFormatting sqref="N21">
    <cfRule type="cellIs" dxfId="335" priority="65" operator="equal">
      <formula>16</formula>
    </cfRule>
    <cfRule type="cellIs" dxfId="334" priority="66" operator="equal">
      <formula>15</formula>
    </cfRule>
    <cfRule type="cellIs" dxfId="333" priority="67" operator="equal">
      <formula>14</formula>
    </cfRule>
    <cfRule type="cellIs" dxfId="332" priority="68" operator="equal">
      <formula>13</formula>
    </cfRule>
    <cfRule type="cellIs" dxfId="331" priority="69" operator="equal">
      <formula>12</formula>
    </cfRule>
    <cfRule type="cellIs" dxfId="330" priority="70" operator="equal">
      <formula>11</formula>
    </cfRule>
    <cfRule type="cellIs" dxfId="329" priority="71" operator="equal">
      <formula>10</formula>
    </cfRule>
    <cfRule type="cellIs" dxfId="328" priority="72" operator="equal">
      <formula>9</formula>
    </cfRule>
    <cfRule type="cellIs" dxfId="327" priority="73" operator="equal">
      <formula>8</formula>
    </cfRule>
    <cfRule type="cellIs" dxfId="326" priority="74" operator="equal">
      <formula>7</formula>
    </cfRule>
    <cfRule type="cellIs" dxfId="325" priority="75" operator="equal">
      <formula>6</formula>
    </cfRule>
    <cfRule type="cellIs" dxfId="324" priority="76" operator="equal">
      <formula>5</formula>
    </cfRule>
    <cfRule type="cellIs" dxfId="323" priority="77" operator="equal">
      <formula>4</formula>
    </cfRule>
    <cfRule type="cellIs" dxfId="322" priority="78" operator="equal">
      <formula>3</formula>
    </cfRule>
    <cfRule type="cellIs" dxfId="321" priority="79" operator="equal">
      <formula>2</formula>
    </cfRule>
    <cfRule type="cellIs" dxfId="320" priority="80" operator="equal">
      <formula>1</formula>
    </cfRule>
  </conditionalFormatting>
  <conditionalFormatting sqref="N95:N101">
    <cfRule type="cellIs" dxfId="319" priority="49" operator="equal">
      <formula>16</formula>
    </cfRule>
    <cfRule type="cellIs" dxfId="318" priority="50" operator="equal">
      <formula>15</formula>
    </cfRule>
    <cfRule type="cellIs" dxfId="317" priority="51" operator="equal">
      <formula>14</formula>
    </cfRule>
    <cfRule type="cellIs" dxfId="316" priority="52" operator="equal">
      <formula>13</formula>
    </cfRule>
    <cfRule type="cellIs" dxfId="315" priority="53" operator="equal">
      <formula>12</formula>
    </cfRule>
    <cfRule type="cellIs" dxfId="314" priority="54" operator="equal">
      <formula>11</formula>
    </cfRule>
    <cfRule type="cellIs" dxfId="313" priority="55" operator="equal">
      <formula>10</formula>
    </cfRule>
    <cfRule type="cellIs" dxfId="312" priority="56" operator="equal">
      <formula>9</formula>
    </cfRule>
    <cfRule type="cellIs" dxfId="311" priority="57" operator="equal">
      <formula>8</formula>
    </cfRule>
    <cfRule type="cellIs" dxfId="310" priority="58" operator="equal">
      <formula>7</formula>
    </cfRule>
    <cfRule type="cellIs" dxfId="309" priority="59" operator="equal">
      <formula>6</formula>
    </cfRule>
    <cfRule type="cellIs" dxfId="308" priority="60" operator="equal">
      <formula>5</formula>
    </cfRule>
    <cfRule type="cellIs" dxfId="307" priority="61" operator="equal">
      <formula>4</formula>
    </cfRule>
    <cfRule type="cellIs" dxfId="306" priority="62" operator="equal">
      <formula>3</formula>
    </cfRule>
    <cfRule type="cellIs" dxfId="305" priority="63" operator="equal">
      <formula>2</formula>
    </cfRule>
    <cfRule type="cellIs" dxfId="304" priority="64" operator="equal">
      <formula>1</formula>
    </cfRule>
  </conditionalFormatting>
  <conditionalFormatting sqref="N78:N91">
    <cfRule type="cellIs" dxfId="303" priority="33" operator="equal">
      <formula>16</formula>
    </cfRule>
    <cfRule type="cellIs" dxfId="302" priority="34" operator="equal">
      <formula>15</formula>
    </cfRule>
    <cfRule type="cellIs" dxfId="301" priority="35" operator="equal">
      <formula>14</formula>
    </cfRule>
    <cfRule type="cellIs" dxfId="300" priority="36" operator="equal">
      <formula>13</formula>
    </cfRule>
    <cfRule type="cellIs" dxfId="299" priority="37" operator="equal">
      <formula>12</formula>
    </cfRule>
    <cfRule type="cellIs" dxfId="298" priority="38" operator="equal">
      <formula>11</formula>
    </cfRule>
    <cfRule type="cellIs" dxfId="297" priority="39" operator="equal">
      <formula>10</formula>
    </cfRule>
    <cfRule type="cellIs" dxfId="296" priority="40" operator="equal">
      <formula>9</formula>
    </cfRule>
    <cfRule type="cellIs" dxfId="295" priority="41" operator="equal">
      <formula>8</formula>
    </cfRule>
    <cfRule type="cellIs" dxfId="294" priority="42" operator="equal">
      <formula>7</formula>
    </cfRule>
    <cfRule type="cellIs" dxfId="293" priority="43" operator="equal">
      <formula>6</formula>
    </cfRule>
    <cfRule type="cellIs" dxfId="292" priority="44" operator="equal">
      <formula>5</formula>
    </cfRule>
    <cfRule type="cellIs" dxfId="291" priority="45" operator="equal">
      <formula>4</formula>
    </cfRule>
    <cfRule type="cellIs" dxfId="290" priority="46" operator="equal">
      <formula>3</formula>
    </cfRule>
    <cfRule type="cellIs" dxfId="289" priority="47" operator="equal">
      <formula>2</formula>
    </cfRule>
    <cfRule type="cellIs" dxfId="288" priority="48" operator="equal">
      <formula>1</formula>
    </cfRule>
  </conditionalFormatting>
  <conditionalFormatting sqref="N92:N94">
    <cfRule type="cellIs" dxfId="287" priority="17" operator="equal">
      <formula>16</formula>
    </cfRule>
    <cfRule type="cellIs" dxfId="286" priority="18" operator="equal">
      <formula>15</formula>
    </cfRule>
    <cfRule type="cellIs" dxfId="285" priority="19" operator="equal">
      <formula>14</formula>
    </cfRule>
    <cfRule type="cellIs" dxfId="284" priority="20" operator="equal">
      <formula>13</formula>
    </cfRule>
    <cfRule type="cellIs" dxfId="283" priority="21" operator="equal">
      <formula>12</formula>
    </cfRule>
    <cfRule type="cellIs" dxfId="282" priority="22" operator="equal">
      <formula>11</formula>
    </cfRule>
    <cfRule type="cellIs" dxfId="281" priority="23" operator="equal">
      <formula>10</formula>
    </cfRule>
    <cfRule type="cellIs" dxfId="280" priority="24" operator="equal">
      <formula>9</formula>
    </cfRule>
    <cfRule type="cellIs" dxfId="279" priority="25" operator="equal">
      <formula>8</formula>
    </cfRule>
    <cfRule type="cellIs" dxfId="278" priority="26" operator="equal">
      <formula>7</formula>
    </cfRule>
    <cfRule type="cellIs" dxfId="277" priority="27" operator="equal">
      <formula>6</formula>
    </cfRule>
    <cfRule type="cellIs" dxfId="276" priority="28" operator="equal">
      <formula>5</formula>
    </cfRule>
    <cfRule type="cellIs" dxfId="275" priority="29" operator="equal">
      <formula>4</formula>
    </cfRule>
    <cfRule type="cellIs" dxfId="274" priority="30" operator="equal">
      <formula>3</formula>
    </cfRule>
    <cfRule type="cellIs" dxfId="273" priority="31" operator="equal">
      <formula>2</formula>
    </cfRule>
    <cfRule type="cellIs" dxfId="272" priority="32" operator="equal">
      <formula>1</formula>
    </cfRule>
  </conditionalFormatting>
  <conditionalFormatting sqref="N6:N20">
    <cfRule type="cellIs" dxfId="271" priority="1" operator="equal">
      <formula>16</formula>
    </cfRule>
    <cfRule type="cellIs" dxfId="270" priority="2" operator="equal">
      <formula>15</formula>
    </cfRule>
    <cfRule type="cellIs" dxfId="269" priority="3" operator="equal">
      <formula>14</formula>
    </cfRule>
    <cfRule type="cellIs" dxfId="268" priority="4" operator="equal">
      <formula>13</formula>
    </cfRule>
    <cfRule type="cellIs" dxfId="267" priority="5" operator="equal">
      <formula>12</formula>
    </cfRule>
    <cfRule type="cellIs" dxfId="266" priority="6" operator="equal">
      <formula>11</formula>
    </cfRule>
    <cfRule type="cellIs" dxfId="265" priority="7" operator="equal">
      <formula>10</formula>
    </cfRule>
    <cfRule type="cellIs" dxfId="264" priority="8" operator="equal">
      <formula>9</formula>
    </cfRule>
    <cfRule type="cellIs" dxfId="263" priority="9" operator="equal">
      <formula>8</formula>
    </cfRule>
    <cfRule type="cellIs" dxfId="262" priority="10" operator="equal">
      <formula>7</formula>
    </cfRule>
    <cfRule type="cellIs" dxfId="261" priority="11" operator="equal">
      <formula>6</formula>
    </cfRule>
    <cfRule type="cellIs" dxfId="260" priority="12" operator="equal">
      <formula>5</formula>
    </cfRule>
    <cfRule type="cellIs" dxfId="259" priority="13" operator="equal">
      <formula>4</formula>
    </cfRule>
    <cfRule type="cellIs" dxfId="258" priority="14" operator="equal">
      <formula>3</formula>
    </cfRule>
    <cfRule type="cellIs" dxfId="257" priority="15" operator="equal">
      <formula>2</formula>
    </cfRule>
    <cfRule type="cellIs" dxfId="256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51"/>
  <sheetViews>
    <sheetView showGridLines="0" workbookViewId="0">
      <pane xSplit="1" ySplit="2" topLeftCell="U49" activePane="bottomRight" state="frozen"/>
      <selection pane="topRight" activeCell="B1" sqref="B1"/>
      <selection pane="bottomLeft" activeCell="A3" sqref="A3"/>
      <selection pane="bottomRight" activeCell="AG69" sqref="AG69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140625" style="4" customWidth="1"/>
    <col min="9" max="9" width="7.85546875" style="4" customWidth="1"/>
    <col min="10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</f>
        <v>ZASLC</v>
      </c>
      <c r="B1" s="1"/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09"/>
      <c r="X1" s="113" t="s">
        <v>69</v>
      </c>
      <c r="Y1" s="114" t="s">
        <v>60</v>
      </c>
      <c r="Z1" s="253" t="s">
        <v>107</v>
      </c>
      <c r="AA1" s="254"/>
      <c r="AB1" s="253" t="s">
        <v>108</v>
      </c>
      <c r="AC1" s="254"/>
      <c r="AD1" s="253" t="s">
        <v>109</v>
      </c>
      <c r="AE1" s="254"/>
      <c r="AF1" s="253" t="s">
        <v>110</v>
      </c>
      <c r="AG1" s="254"/>
      <c r="AH1" s="116"/>
      <c r="AI1" s="109"/>
      <c r="AJ1" s="200" t="str">
        <f>LEFT(Z1,4) &amp; MID(AB1,5,3)</f>
        <v>Apr-Sep</v>
      </c>
      <c r="AK1" s="20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09"/>
      <c r="X2" s="117" t="s">
        <v>61</v>
      </c>
      <c r="Y2" s="114" t="s">
        <v>62</v>
      </c>
      <c r="Z2" s="251" t="s">
        <v>111</v>
      </c>
      <c r="AA2" s="255"/>
      <c r="AB2" s="251" t="s">
        <v>112</v>
      </c>
      <c r="AC2" s="255"/>
      <c r="AD2" s="251" t="s">
        <v>113</v>
      </c>
      <c r="AE2" s="255"/>
      <c r="AF2" s="251" t="s">
        <v>114</v>
      </c>
      <c r="AG2" s="255"/>
      <c r="AH2" s="116"/>
      <c r="AI2" s="109"/>
      <c r="AJ2" s="198" t="s">
        <v>115</v>
      </c>
      <c r="AK2" s="199" t="s">
        <v>116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70</v>
      </c>
      <c r="R3" s="56"/>
      <c r="S3" s="67"/>
      <c r="T3" s="56"/>
      <c r="U3" s="56"/>
      <c r="V3" s="56"/>
      <c r="W3" s="109"/>
      <c r="X3" s="117"/>
      <c r="Y3" s="114" t="s">
        <v>63</v>
      </c>
      <c r="Z3" s="119"/>
      <c r="AA3" s="118"/>
      <c r="AB3" s="119"/>
      <c r="AC3" s="118"/>
      <c r="AD3" s="119"/>
      <c r="AE3" s="118"/>
      <c r="AF3" s="119"/>
      <c r="AG3" s="118"/>
      <c r="AH3" s="116"/>
      <c r="AI3" s="109"/>
      <c r="AJ3" s="119"/>
      <c r="AK3" s="118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71</v>
      </c>
      <c r="R4" s="56"/>
      <c r="S4" s="29"/>
      <c r="T4" s="56"/>
      <c r="U4" s="56"/>
      <c r="V4" s="56"/>
      <c r="W4" s="109"/>
      <c r="X4" s="117"/>
      <c r="Y4" s="114" t="s">
        <v>64</v>
      </c>
      <c r="Z4" s="119"/>
      <c r="AA4" s="118"/>
      <c r="AB4" s="119"/>
      <c r="AC4" s="118"/>
      <c r="AD4" s="119"/>
      <c r="AE4" s="118"/>
      <c r="AF4" s="119"/>
      <c r="AG4" s="118"/>
      <c r="AH4" s="116"/>
      <c r="AI4" s="109"/>
      <c r="AJ4" s="119"/>
      <c r="AK4" s="118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131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20</v>
      </c>
      <c r="M5" s="23" t="str">
        <f>(J5)</f>
        <v>Access</v>
      </c>
      <c r="O5" s="2" t="s">
        <v>21</v>
      </c>
      <c r="P5" s="19"/>
      <c r="Q5" s="56"/>
      <c r="R5" s="56"/>
      <c r="S5" s="29"/>
      <c r="T5" s="56"/>
      <c r="U5" s="56"/>
      <c r="V5" s="56"/>
      <c r="W5" s="109"/>
      <c r="X5" s="117"/>
      <c r="Y5" s="114"/>
      <c r="Z5" s="119"/>
      <c r="AA5" s="118"/>
      <c r="AB5" s="119"/>
      <c r="AC5" s="118"/>
      <c r="AD5" s="119"/>
      <c r="AE5" s="118"/>
      <c r="AF5" s="119"/>
      <c r="AG5" s="118"/>
      <c r="AH5" s="116"/>
      <c r="AI5" s="109"/>
      <c r="AJ5" s="119"/>
      <c r="AK5" s="118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IF([1]Summ!$A$1044="","",[1]Summ!$A$1044)</f>
        <v>Cows' milk - season 1</v>
      </c>
      <c r="B6" s="216">
        <f>IF([1]Summ!E1044="",0,[1]Summ!E1044)</f>
        <v>0</v>
      </c>
      <c r="C6" s="216">
        <f>IF([1]Summ!F1044="",0,[1]Summ!F1044)</f>
        <v>0</v>
      </c>
      <c r="D6" s="24">
        <f t="shared" ref="D6:D16" si="0">SUM(B6,C6)</f>
        <v>0</v>
      </c>
      <c r="E6" s="26">
        <v>1</v>
      </c>
      <c r="F6" s="2" t="s">
        <v>22</v>
      </c>
      <c r="H6" s="24">
        <f t="shared" ref="H6:H21" si="1">(E6*F$7/F$9)</f>
        <v>1</v>
      </c>
      <c r="I6" s="22">
        <f t="shared" ref="I6:I21" si="2">(D6*H6)</f>
        <v>0</v>
      </c>
      <c r="J6" s="24">
        <f t="shared" ref="J6:J13" si="3">IF(I$24&lt;=1+I$113,I6,B6*H6+J$25*(I6-B6*H6))</f>
        <v>0</v>
      </c>
      <c r="K6" s="22">
        <f t="shared" ref="K6:K23" si="4">B6</f>
        <v>0</v>
      </c>
      <c r="L6" s="22">
        <f t="shared" ref="L6:L21" si="5">IF(K6="","",K6*H6)</f>
        <v>0</v>
      </c>
      <c r="M6" s="226">
        <f t="shared" ref="M6:M23" si="6">J6</f>
        <v>0</v>
      </c>
      <c r="N6" s="231">
        <v>3</v>
      </c>
      <c r="O6" s="22" t="s">
        <v>23</v>
      </c>
      <c r="P6" s="22"/>
      <c r="Q6" s="56"/>
      <c r="R6" s="70" t="s">
        <v>7</v>
      </c>
      <c r="S6" s="70" t="s">
        <v>72</v>
      </c>
      <c r="T6" s="70" t="s">
        <v>23</v>
      </c>
      <c r="U6" s="56"/>
      <c r="V6" s="56"/>
      <c r="W6" s="114"/>
      <c r="X6" s="117"/>
      <c r="Y6" s="184">
        <f>M6*4</f>
        <v>0</v>
      </c>
      <c r="Z6" s="115">
        <v>0.17</v>
      </c>
      <c r="AA6" s="120">
        <f>$M6*Z6*4</f>
        <v>0</v>
      </c>
      <c r="AB6" s="115">
        <v>0.17</v>
      </c>
      <c r="AC6" s="120">
        <f t="shared" ref="AC6:AC21" si="7">$M6*AB6*4</f>
        <v>0</v>
      </c>
      <c r="AD6" s="115">
        <v>0.33</v>
      </c>
      <c r="AE6" s="120">
        <f t="shared" ref="AE6:AE21" si="8">$M6*AD6*4</f>
        <v>0</v>
      </c>
      <c r="AF6" s="121">
        <f>1-SUM(Z6,AB6,AD6)</f>
        <v>0.32999999999999996</v>
      </c>
      <c r="AG6" s="120">
        <f>$M6*AF6*4</f>
        <v>0</v>
      </c>
      <c r="AH6" s="122">
        <f>SUM(Z6,AB6,AD6,AF6)</f>
        <v>1</v>
      </c>
      <c r="AI6" s="184">
        <f>SUM(AA6,AC6,AE6,AG6)/4</f>
        <v>0</v>
      </c>
      <c r="AJ6" s="119">
        <f>(AA6+AC6)/2</f>
        <v>0</v>
      </c>
      <c r="AK6" s="118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Own meat</v>
      </c>
      <c r="B7" s="216">
        <f>IF([1]Summ!E1045="",0,[1]Summ!E1045)</f>
        <v>2.8214508094645077E-3</v>
      </c>
      <c r="C7" s="216">
        <f>IF([1]Summ!F1045="",0,[1]Summ!F1045)</f>
        <v>0</v>
      </c>
      <c r="D7" s="24">
        <f t="shared" si="0"/>
        <v>2.8214508094645077E-3</v>
      </c>
      <c r="E7" s="233">
        <v>1</v>
      </c>
      <c r="F7" s="27">
        <f>[1]Summ!$P$1</f>
        <v>8800</v>
      </c>
      <c r="H7" s="24">
        <f t="shared" si="1"/>
        <v>1</v>
      </c>
      <c r="I7" s="22">
        <f t="shared" si="2"/>
        <v>2.8214508094645077E-3</v>
      </c>
      <c r="J7" s="24">
        <f t="shared" si="3"/>
        <v>2.8214508094645077E-3</v>
      </c>
      <c r="K7" s="22">
        <f t="shared" si="4"/>
        <v>2.8214508094645077E-3</v>
      </c>
      <c r="L7" s="22">
        <f t="shared" si="5"/>
        <v>2.8214508094645077E-3</v>
      </c>
      <c r="M7" s="226">
        <f t="shared" si="6"/>
        <v>2.8214508094645077E-3</v>
      </c>
      <c r="N7" s="231">
        <v>3</v>
      </c>
      <c r="O7" s="2"/>
      <c r="P7" s="22"/>
      <c r="Q7" s="59" t="s">
        <v>73</v>
      </c>
      <c r="R7" s="224">
        <f>IF($B$68=0,0,(SUMIF($N$6:$N$20,$U7,K$6:K$20)+SUMIF($N$78:$N$100,$U7,K$78:K$100))*$I$70*Poor!$B$68/$B$68)</f>
        <v>2307.2153332731605</v>
      </c>
      <c r="S7" s="224">
        <f>IF($B$68=0,0,(SUMIF($N$6:$N$20,$U7,L$6:L$20)+SUMIF($N$78:$N$100,$U7,L$78:L$100))*$I$70*Poor!$B$68/$B$68)</f>
        <v>2307.2153332731605</v>
      </c>
      <c r="T7" s="224">
        <f>IF($B$68=0,0,(SUMIF($N$6:$N$20,$U7,M$6:M$20)+SUMIF($N$78:$N$100,$U7,M$78:M$100))*$I$70*Poor!$B$68/$B$68)</f>
        <v>2307.2153332731605</v>
      </c>
      <c r="U7" s="225">
        <v>1</v>
      </c>
      <c r="V7" s="56"/>
      <c r="W7" s="114"/>
      <c r="X7" s="123">
        <v>4</v>
      </c>
      <c r="Y7" s="184">
        <f t="shared" ref="Y7:Y21" si="9">M7*4</f>
        <v>1.1285803237858031E-2</v>
      </c>
      <c r="Z7" s="124">
        <f>IF($Y7=0,0,AA7/$Y7)</f>
        <v>0</v>
      </c>
      <c r="AA7" s="120">
        <f>IF($X7=1,IF(SUM(AA$6,AA$12:AA$21)&lt;1,IF((1-SUM(AA$6,AA$12:AA$21))*$M7/SUM($M$7*IF($X$7=1,1,0),$M$8*IF($X$8=1,1,0),$M$9*IF($X$9=1,1,0),$M$10*IF($X$10=1,1,0),$M$11*IF($X$11=1,1,0))&lt;Y7,(1-SUM(AA$6,AA$12:AA$21))*$M7/SUM($M$7*IF($X$7=1,1,0),$M$8*IF($X$8=1,1,0),$M$9*IF($X$9=1,1,0),$M$10*IF($X$10=1,1,0),$M$11*IF($X$11=1,1,0)),Y7),0),0)</f>
        <v>0</v>
      </c>
      <c r="AB7" s="124">
        <f>IF($Y7=0,0,AC7/$Y7)</f>
        <v>0</v>
      </c>
      <c r="AC7" s="120">
        <f>IF($X7&lt;3,IF(SUM(AC$6,AC$12:AC$21)&lt;1,IF(SUM(AC$6,AC$12:AC$21)+SUM((Y$7-AA$7)*IF($X$7&lt;3,1,0),(Y$8-AA$8)*IF($X$8&lt;3,1,0),(Y$9-AA$9)*IF($X$9&lt;3,1,0),(Y$10-AA$10)*IF($X$10&lt;3,1,0),(Y$11-AA$11)*IF($X$11&lt;3,1,0))&lt;1,Y7-AA7,IF((1-SUM(AC$6,AC$12:AC$21))*$M7/SUM($M$7*IF($X$7&lt;3,1,0),$M$8*IF($X$8&lt;3,1,0),$M$9*IF($X$9&lt;3,1,0),$M$10*IF($X$10&lt;3,1,0),$M$11*IF($X$11&lt;3,1,0))&lt;Y7-AA7,(1-SUM(AC$6,AC$12:AC$21))*$M7/SUM($M$7*IF($X$7&lt;3,1,0),$M$8*IF($X$8&lt;3,1,0),$M$9*IF($X$9&lt;3,1,0),$M$10*IF($X$10&lt;3,1,0),$M$11*IF($X$11&lt;3,1,0)),Y7-AA7)),0),0)</f>
        <v>0</v>
      </c>
      <c r="AD7" s="124">
        <f>IF($Y7=0,0,AE7/$Y7)</f>
        <v>0</v>
      </c>
      <c r="AE7" s="120">
        <f>IF($X7&lt;4,IF(SUM(AE$6:AE$6,AE$12:AE$21)&lt;1,IF(SUM(AE$6:AE$6,AE$12:AE$21)+SUM((Y$7-AA$7-AC$7)*IF($X$7&lt;3,1,0),(Y$8-AA$8-AC$8)*IF($X$8&lt;3,1,0),(Y$9-AA$9-AC$9)*IF($X$9&lt;3,1,0),(Y$10-AA$10-AC$10)*IF($X$10&lt;3,1,0),(Y$11-AA$11-AC$11)*IF($X$11&lt;3,1,0))&lt;1,Y7-AA7-AC7,IF((1-SUM(AE$6:AE$6,AE$12:AE$21))*$M7/SUM($M$7*IF($X$7&lt;4,1,0),$M$8*IF($X$8&lt;4,1,0),$M$9*IF($X$9&lt;4,1,0),$M$10*IF($X$10&lt;4,1,0),$M$11*IF($X$11&lt;4,1,0))&lt;Y7-AA7-AC7,(1-SUM(AE$6:AE$6,AE$12:AE$21))*$M7/SUM($M$7*IF($X$7&lt;4,1,0),$M$8*IF($X$8&lt;4,1,0),$M$9*IF($X$9&lt;4,1,0),$M$10*IF($X$10&lt;4,1,0),$M$11*IF($X$11&lt;4,1,0)),Y7-AA7-AC7)),0),0)</f>
        <v>0</v>
      </c>
      <c r="AF7" s="121">
        <f t="shared" ref="AF7:AF21" si="10">1-SUM(Z7,AB7,AD7)</f>
        <v>1</v>
      </c>
      <c r="AG7" s="120">
        <f t="shared" ref="AG7:AG21" si="11">$M7*AF7*4</f>
        <v>1.1285803237858031E-2</v>
      </c>
      <c r="AH7" s="122">
        <f t="shared" ref="AH7:AH22" si="12">SUM(Z7,AB7,AD7,AF7)</f>
        <v>1</v>
      </c>
      <c r="AI7" s="184">
        <f t="shared" ref="AI7:AI22" si="13">SUM(AA7,AC7,AE7,AG7)/4</f>
        <v>2.8214508094645077E-3</v>
      </c>
      <c r="AJ7" s="119">
        <f t="shared" ref="AJ7:AJ23" si="14">(AA7+AC7)/2</f>
        <v>0</v>
      </c>
      <c r="AK7" s="118">
        <f t="shared" ref="AK7:AK23" si="15">(AE7+AG7)/2</f>
        <v>5.6429016189290153E-3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Green cons - Season 1: no of months</v>
      </c>
      <c r="B8" s="216">
        <f>IF([1]Summ!E1046="",0,[1]Summ!E1046)</f>
        <v>4.1666666666666664E-2</v>
      </c>
      <c r="C8" s="216">
        <f>IF([1]Summ!F1046="",0,[1]Summ!F1046)</f>
        <v>0</v>
      </c>
      <c r="D8" s="24">
        <f t="shared" si="0"/>
        <v>4.1666666666666664E-2</v>
      </c>
      <c r="E8" s="26">
        <v>1</v>
      </c>
      <c r="F8" s="22" t="s">
        <v>24</v>
      </c>
      <c r="H8" s="24">
        <f t="shared" si="1"/>
        <v>1</v>
      </c>
      <c r="I8" s="22">
        <f t="shared" si="2"/>
        <v>4.1666666666666664E-2</v>
      </c>
      <c r="J8" s="24">
        <f t="shared" si="3"/>
        <v>4.1666666666666664E-2</v>
      </c>
      <c r="K8" s="22">
        <f t="shared" si="4"/>
        <v>4.1666666666666664E-2</v>
      </c>
      <c r="L8" s="22">
        <f t="shared" si="5"/>
        <v>4.1666666666666664E-2</v>
      </c>
      <c r="M8" s="226">
        <f t="shared" si="6"/>
        <v>4.1666666666666664E-2</v>
      </c>
      <c r="N8" s="231">
        <v>1</v>
      </c>
      <c r="O8" s="2"/>
      <c r="P8" s="22"/>
      <c r="Q8" s="59" t="s">
        <v>74</v>
      </c>
      <c r="R8" s="224">
        <f>IF($B$68=0,0,(SUMIF($N$6:$N$20,$U8,K$6:K$20)+SUMIF($N$78:$N$100,$U8,K$78:K$100))*$I$70*Poor!$B$68/$B$68)</f>
        <v>0</v>
      </c>
      <c r="S8" s="224">
        <f>IF($B$68=0,0,(SUMIF($N$6:$N$20,$U8,L$6:L$20)+SUMIF($N$78:$N$100,$U8,L$78:L$100))*$I$70*Poor!$B$68/$B$68)</f>
        <v>0</v>
      </c>
      <c r="T8" s="224">
        <f>IF($B$68=0,0,(SUMIF($N$6:$N$20,$U8,M$6:M$20)+SUMIF($N$78:$N$100,$U8,M$78:M$100))*$I$70*Poor!$B$68/$B$68)</f>
        <v>0</v>
      </c>
      <c r="U8" s="225">
        <v>2</v>
      </c>
      <c r="V8" s="185"/>
      <c r="W8" s="114"/>
      <c r="X8" s="123">
        <v>1</v>
      </c>
      <c r="Y8" s="184">
        <f t="shared" si="9"/>
        <v>0.16666666666666666</v>
      </c>
      <c r="Z8" s="124">
        <f>IF($Y8=0,0,AA8/$Y8)</f>
        <v>0.29794196925528332</v>
      </c>
      <c r="AA8" s="120">
        <f>IF($X8=1,IF(SUM(AA$6,AA$12:AA$21)&lt;1,IF((1-SUM(AA$6,AA$12:AA$21))*$M8/SUM($M$7*IF($X$7=1,1,0),$M$8*IF($X$8=1,1,0),$M$9*IF($X$9=1,1,0),$M$10*IF($X$10=1,1,0),$M$11*IF($X$11=1,1,0))&lt;Y8,(1-SUM(AA$6,AA$12:AA$21))*$M8/SUM($M$7*IF($X$7=1,1,0),$M$8*IF($X$8=1,1,0),$M$9*IF($X$9=1,1,0),$M$10*IF($X$10=1,1,0),$M$11*IF($X$11=1,1,0)),Y8),0),0)</f>
        <v>4.9656994875880552E-2</v>
      </c>
      <c r="AB8" s="124">
        <f>IF($Y8=0,0,AC8/$Y8)</f>
        <v>0.29794196925528332</v>
      </c>
      <c r="AC8" s="120">
        <f>IF($X8&lt;3,IF(SUM(AC$6,AC$12:AC$21)&lt;1,IF(SUM(AC$6,AC$12:AC$21)+SUM((Y$7-AA$7)*IF($X$7&lt;3,1,0),(Y$8-AA$8)*IF($X$8&lt;3,1,0),(Y$9-AA$9)*IF($X$9&lt;3,1,0),(Y$10-AA$10)*IF($X$10&lt;3,1,0),(Y$11-AA$11)*IF($X$11&lt;3,1,0))&lt;1,Y8-AA8,IF((1-SUM(AC$6,AC$12:AC$21))*$M8/SUM($M$7*IF($X$7&lt;3,1,0),$M$8*IF($X$8&lt;3,1,0),$M$9*IF($X$9&lt;3,1,0),$M$10*IF($X$10&lt;3,1,0),$M$11*IF($X$11&lt;3,1,0))&lt;Y8-AA8,(1-SUM(AC$6,AC$12:AC$21))*$M8/SUM($M$7*IF($X$7&lt;3,1,0),$M$8*IF($X$8&lt;3,1,0),$M$9*IF($X$9&lt;3,1,0),$M$10*IF($X$10&lt;3,1,0),$M$11*IF($X$11&lt;3,1,0)),Y8-AA8)),0),0)</f>
        <v>4.9656994875880552E-2</v>
      </c>
      <c r="AD8" s="124">
        <f>IF($Y8=0,0,AE8/$Y8)</f>
        <v>0.29794196925528332</v>
      </c>
      <c r="AE8" s="120">
        <f>IF($X8&lt;4,IF(SUM(AE$6:AE$6,AE$12:AE$21)&lt;1,IF(SUM(AE$6:AE$6,AE$12:AE$21)+SUM((Y$7-AA$7-AC$7)*IF($X$7&lt;3,1,0),(Y$8-AA$8-AC$8)*IF($X$8&lt;3,1,0),(Y$9-AA$9-AC$9)*IF($X$9&lt;3,1,0),(Y$10-AA$10-AC$10)*IF($X$10&lt;3,1,0),(Y$11-AA$11-AC$11)*IF($X$11&lt;3,1,0))&lt;1,Y8-AA8-AC8,IF((1-SUM(AE$6:AE$6,AE$12:AE$21))*$M8/SUM($M$7*IF($X$7&lt;4,1,0),$M$8*IF($X$8&lt;4,1,0),$M$9*IF($X$9&lt;4,1,0),$M$10*IF($X$10&lt;4,1,0),$M$11*IF($X$11&lt;4,1,0))&lt;Y8-AA8-AC8,(1-SUM(AE$6:AE$6,AE$12:AE$21))*$M8/SUM($M$7*IF($X$7&lt;4,1,0),$M$8*IF($X$8&lt;4,1,0),$M$9*IF($X$9&lt;4,1,0),$M$10*IF($X$10&lt;4,1,0),$M$11*IF($X$11&lt;4,1,0)),Y8-AA8-AC8)),0),0)</f>
        <v>4.9656994875880552E-2</v>
      </c>
      <c r="AF8" s="121">
        <f t="shared" si="10"/>
        <v>0.10617409223415009</v>
      </c>
      <c r="AG8" s="120">
        <f t="shared" si="11"/>
        <v>1.7695682039025013E-2</v>
      </c>
      <c r="AH8" s="122">
        <f t="shared" si="12"/>
        <v>1</v>
      </c>
      <c r="AI8" s="184">
        <f t="shared" si="13"/>
        <v>4.1666666666666671E-2</v>
      </c>
      <c r="AJ8" s="119">
        <f t="shared" si="14"/>
        <v>4.9656994875880552E-2</v>
      </c>
      <c r="AK8" s="118">
        <f t="shared" si="15"/>
        <v>3.3676338457452784E-2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Maize: kg produced</v>
      </c>
      <c r="B9" s="216">
        <f>IF([1]Summ!E1047="",0,[1]Summ!E1047)</f>
        <v>8.6747054794520537E-2</v>
      </c>
      <c r="C9" s="216">
        <f>IF([1]Summ!F1047="",0,[1]Summ!F1047)</f>
        <v>0</v>
      </c>
      <c r="D9" s="24">
        <f t="shared" si="0"/>
        <v>8.6747054794520537E-2</v>
      </c>
      <c r="E9" s="26">
        <v>1</v>
      </c>
      <c r="F9" s="28">
        <v>8800</v>
      </c>
      <c r="H9" s="24">
        <f t="shared" si="1"/>
        <v>1</v>
      </c>
      <c r="I9" s="22">
        <f t="shared" si="2"/>
        <v>8.6747054794520537E-2</v>
      </c>
      <c r="J9" s="24">
        <f t="shared" si="3"/>
        <v>8.6747054794520537E-2</v>
      </c>
      <c r="K9" s="22">
        <f t="shared" si="4"/>
        <v>8.6747054794520537E-2</v>
      </c>
      <c r="L9" s="22">
        <f t="shared" si="5"/>
        <v>8.6747054794520537E-2</v>
      </c>
      <c r="M9" s="226">
        <f t="shared" si="6"/>
        <v>8.6747054794520537E-2</v>
      </c>
      <c r="N9" s="231">
        <v>1</v>
      </c>
      <c r="O9" s="2"/>
      <c r="P9" s="22"/>
      <c r="Q9" s="59" t="s">
        <v>75</v>
      </c>
      <c r="R9" s="224">
        <f>IF($B$68=0,0,(SUMIF($N$6:$N$20,$U9,K$6:K$20)+SUMIF($N$78:$N$100,$U9,K$78:K$100))*$I$70*Poor!$B$68/$B$68)</f>
        <v>22.602112558965903</v>
      </c>
      <c r="S9" s="224">
        <f>IF($B$68=0,0,(SUMIF($N$6:$N$20,$U9,L$6:L$20)+SUMIF($N$78:$N$100,$U9,L$78:L$100))*$I$70*Poor!$B$68/$B$68)</f>
        <v>22.602112558965903</v>
      </c>
      <c r="T9" s="224">
        <f>IF($B$68=0,0,(SUMIF($N$6:$N$20,$U9,M$6:M$20)+SUMIF($N$78:$N$100,$U9,M$78:M$100))*$I$70*Poor!$B$68/$B$68)</f>
        <v>22.602112558965903</v>
      </c>
      <c r="U9" s="225">
        <v>3</v>
      </c>
      <c r="V9" s="56"/>
      <c r="W9" s="114"/>
      <c r="X9" s="123">
        <v>1</v>
      </c>
      <c r="Y9" s="184">
        <f t="shared" si="9"/>
        <v>0.34698821917808215</v>
      </c>
      <c r="Z9" s="124">
        <f>IF($Y9=0,0,AA9/$Y9)</f>
        <v>0.29794196925528332</v>
      </c>
      <c r="AA9" s="120">
        <f>IF($X9=1,IF(SUM(AA$6,AA$12:AA$21)&lt;1,IF((1-SUM(AA$6,AA$12:AA$21))*$M9/SUM($M$7*IF($X$7=1,1,0),$M$8*IF($X$8=1,1,0),$M$9*IF($X$9=1,1,0),$M$10*IF($X$10=1,1,0),$M$11*IF($X$11=1,1,0))&lt;Y9,(1-SUM(AA$6,AA$12:AA$21))*$M9/SUM($M$7*IF($X$7=1,1,0),$M$8*IF($X$8=1,1,0),$M$9*IF($X$9=1,1,0),$M$10*IF($X$10=1,1,0),$M$11*IF($X$11=1,1,0)),Y9),0),0)</f>
        <v>0.10338235333030167</v>
      </c>
      <c r="AB9" s="124">
        <f>IF($Y9=0,0,AC9/$Y9)</f>
        <v>0.29794196925528332</v>
      </c>
      <c r="AC9" s="120">
        <f>IF($X9&lt;3,IF(SUM(AC$6,AC$12:AC$21)&lt;1,IF(SUM(AC$6,AC$12:AC$21)+SUM((Y$7-AA$7)*IF($X$7&lt;3,1,0),(Y$8-AA$8)*IF($X$8&lt;3,1,0),(Y$9-AA$9)*IF($X$9&lt;3,1,0),(Y$10-AA$10)*IF($X$10&lt;3,1,0),(Y$11-AA$11)*IF($X$11&lt;3,1,0))&lt;1,Y9-AA9,IF((1-SUM(AC$6,AC$12:AC$21))*$M9/SUM($M$7*IF($X$7&lt;3,1,0),$M$8*IF($X$8&lt;3,1,0),$M$9*IF($X$9&lt;3,1,0),$M$10*IF($X$10&lt;3,1,0),$M$11*IF($X$11&lt;3,1,0))&lt;Y9-AA9,(1-SUM(AC$6,AC$12:AC$21))*$M9/SUM($M$7*IF($X$7&lt;3,1,0),$M$8*IF($X$8&lt;3,1,0),$M$9*IF($X$9&lt;3,1,0),$M$10*IF($X$10&lt;3,1,0),$M$11*IF($X$11&lt;3,1,0)),Y9-AA9)),0),0)</f>
        <v>0.10338235333030167</v>
      </c>
      <c r="AD9" s="124">
        <f>IF($Y9=0,0,AE9/$Y9)</f>
        <v>0.29794196925528332</v>
      </c>
      <c r="AE9" s="120">
        <f>IF($X9&lt;4,IF(SUM(AE$6:AE$6,AE$12:AE$21)&lt;1,IF(SUM(AE$6:AE$6,AE$12:AE$21)+SUM((Y$7-AA$7-AC$7)*IF($X$7&lt;3,1,0),(Y$8-AA$8-AC$8)*IF($X$8&lt;3,1,0),(Y$9-AA$9-AC$9)*IF($X$9&lt;3,1,0),(Y$10-AA$10-AC$10)*IF($X$10&lt;3,1,0),(Y$11-AA$11-AC$11)*IF($X$11&lt;3,1,0))&lt;1,Y9-AA9-AC9,IF((1-SUM(AE$6:AE$6,AE$12:AE$21))*$M9/SUM($M$7*IF($X$7&lt;4,1,0),$M$8*IF($X$8&lt;4,1,0),$M$9*IF($X$9&lt;4,1,0),$M$10*IF($X$10&lt;4,1,0),$M$11*IF($X$11&lt;4,1,0))&lt;Y9-AA9-AC9,(1-SUM(AE$6:AE$6,AE$12:AE$21))*$M9/SUM($M$7*IF($X$7&lt;4,1,0),$M$8*IF($X$8&lt;4,1,0),$M$9*IF($X$9&lt;4,1,0),$M$10*IF($X$10&lt;4,1,0),$M$11*IF($X$11&lt;4,1,0)),Y9-AA9-AC9)),0),0)</f>
        <v>0.10338235333030167</v>
      </c>
      <c r="AF9" s="121">
        <f t="shared" si="10"/>
        <v>0.10617409223415009</v>
      </c>
      <c r="AG9" s="120">
        <f t="shared" si="11"/>
        <v>3.6841159187177182E-2</v>
      </c>
      <c r="AH9" s="122">
        <f t="shared" si="12"/>
        <v>1</v>
      </c>
      <c r="AI9" s="184">
        <f t="shared" si="13"/>
        <v>8.6747054794520551E-2</v>
      </c>
      <c r="AJ9" s="119">
        <f t="shared" si="14"/>
        <v>0.10338235333030167</v>
      </c>
      <c r="AK9" s="118">
        <f t="shared" si="15"/>
        <v>7.011175625873943E-2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Cowpeas: kg produced</v>
      </c>
      <c r="B10" s="216">
        <f>IF([1]Summ!E1048="",0,[1]Summ!E1048)</f>
        <v>3.5454844333748445E-2</v>
      </c>
      <c r="C10" s="216">
        <f>IF([1]Summ!F1048="",0,[1]Summ!F1048)</f>
        <v>0</v>
      </c>
      <c r="D10" s="24">
        <f t="shared" si="0"/>
        <v>3.5454844333748445E-2</v>
      </c>
      <c r="E10" s="26">
        <v>1</v>
      </c>
      <c r="H10" s="24">
        <f t="shared" si="1"/>
        <v>1</v>
      </c>
      <c r="I10" s="22">
        <f t="shared" si="2"/>
        <v>3.5454844333748445E-2</v>
      </c>
      <c r="J10" s="24">
        <f t="shared" si="3"/>
        <v>3.5454844333748445E-2</v>
      </c>
      <c r="K10" s="22">
        <f t="shared" si="4"/>
        <v>3.5454844333748445E-2</v>
      </c>
      <c r="L10" s="22">
        <f t="shared" si="5"/>
        <v>3.5454844333748445E-2</v>
      </c>
      <c r="M10" s="226">
        <f t="shared" si="6"/>
        <v>3.5454844333748445E-2</v>
      </c>
      <c r="N10" s="231">
        <v>1</v>
      </c>
      <c r="O10" s="2"/>
      <c r="P10" s="22"/>
      <c r="Q10" s="59" t="s">
        <v>76</v>
      </c>
      <c r="R10" s="224">
        <f>IF($B$68=0,0,(SUMIF($N$6:$N$20,$U10,K$6:K$20)+SUMIF($N$78:$N$100,$U10,K$78:K$100))*$I$70*Poor!$B$68/$B$68)</f>
        <v>0</v>
      </c>
      <c r="S10" s="224">
        <f>IF($B$68=0,0,(SUMIF($N$6:$N$20,$U10,L$6:L$20)+SUMIF($N$78:$N$100,$U10,L$78:L$100))*$I$70*Poor!$B$68/$B$68)</f>
        <v>0</v>
      </c>
      <c r="T10" s="224">
        <f>IF($B$68=0,0,(SUMIF($N$6:$N$20,$U10,M$6:M$20)+SUMIF($N$78:$N$100,$U10,M$78:M$100))*$I$70*Poor!$B$68/$B$68)</f>
        <v>0</v>
      </c>
      <c r="U10" s="225">
        <v>4</v>
      </c>
      <c r="V10" s="56"/>
      <c r="W10" s="114"/>
      <c r="X10" s="123">
        <v>1</v>
      </c>
      <c r="Y10" s="184">
        <f t="shared" si="9"/>
        <v>0.14181937733499378</v>
      </c>
      <c r="Z10" s="124">
        <f>IF($Y10=0,0,AA10/$Y10)</f>
        <v>0.29794196925528332</v>
      </c>
      <c r="AA10" s="120">
        <f>IF($X10=1,IF(SUM(AA$6,AA$12:AA$21)&lt;1,IF((1-SUM(AA$6,AA$12:AA$21))*$M10/SUM($M$7*IF($X$7=1,1,0),$M$8*IF($X$8=1,1,0),$M$9*IF($X$9=1,1,0),$M$10*IF($X$10=1,1,0),$M$11*IF($X$11=1,1,0))&lt;Y10,(1-SUM(AA$6,AA$12:AA$21))*$M10/SUM($M$7*IF($X$7=1,1,0),$M$8*IF($X$8=1,1,0),$M$9*IF($X$9=1,1,0),$M$10*IF($X$10=1,1,0),$M$11*IF($X$11=1,1,0)),Y10),0),0)</f>
        <v>4.2253944561746144E-2</v>
      </c>
      <c r="AB10" s="124">
        <f>IF($Y10=0,0,AC10/$Y10)</f>
        <v>0.29794196925528332</v>
      </c>
      <c r="AC10" s="120">
        <f>IF($X10&lt;3,IF(SUM(AC$6,AC$12:AC$21)&lt;1,IF(SUM(AC$6,AC$12:AC$21)+SUM((Y$7-AA$7)*IF($X$7&lt;3,1,0),(Y$8-AA$8)*IF($X$8&lt;3,1,0),(Y$9-AA$9)*IF($X$9&lt;3,1,0),(Y$10-AA$10)*IF($X$10&lt;3,1,0),(Y$11-AA$11)*IF($X$11&lt;3,1,0))&lt;1,Y10-AA10,IF((1-SUM(AC$6,AC$12:AC$21))*$M10/SUM($M$7*IF($X$7&lt;3,1,0),$M$8*IF($X$8&lt;3,1,0),$M$9*IF($X$9&lt;3,1,0),$M$10*IF($X$10&lt;3,1,0),$M$11*IF($X$11&lt;3,1,0))&lt;Y10-AA10,(1-SUM(AC$6,AC$12:AC$21))*$M10/SUM($M$7*IF($X$7&lt;3,1,0),$M$8*IF($X$8&lt;3,1,0),$M$9*IF($X$9&lt;3,1,0),$M$10*IF($X$10&lt;3,1,0),$M$11*IF($X$11&lt;3,1,0)),Y10-AA10)),0),0)</f>
        <v>4.2253944561746144E-2</v>
      </c>
      <c r="AD10" s="124">
        <f>IF($Y10=0,0,AE10/$Y10)</f>
        <v>0.29794196925528332</v>
      </c>
      <c r="AE10" s="120">
        <f>IF($X10&lt;4,IF(SUM(AE$6:AE$6,AE$12:AE$21)&lt;1,IF(SUM(AE$6:AE$6,AE$12:AE$21)+SUM((Y$7-AA$7-AC$7)*IF($X$7&lt;3,1,0),(Y$8-AA$8-AC$8)*IF($X$8&lt;3,1,0),(Y$9-AA$9-AC$9)*IF($X$9&lt;3,1,0),(Y$10-AA$10-AC$10)*IF($X$10&lt;3,1,0),(Y$11-AA$11-AC$11)*IF($X$11&lt;3,1,0))&lt;1,Y10-AA10-AC10,IF((1-SUM(AE$6:AE$6,AE$12:AE$21))*$M10/SUM($M$7*IF($X$7&lt;4,1,0),$M$8*IF($X$8&lt;4,1,0),$M$9*IF($X$9&lt;4,1,0),$M$10*IF($X$10&lt;4,1,0),$M$11*IF($X$11&lt;4,1,0))&lt;Y10-AA10-AC10,(1-SUM(AE$6:AE$6,AE$12:AE$21))*$M10/SUM($M$7*IF($X$7&lt;4,1,0),$M$8*IF($X$8&lt;4,1,0),$M$9*IF($X$9&lt;4,1,0),$M$10*IF($X$10&lt;4,1,0),$M$11*IF($X$11&lt;4,1,0)),Y10-AA10-AC10)),0),0)</f>
        <v>4.2253944561746144E-2</v>
      </c>
      <c r="AF10" s="121">
        <f t="shared" si="10"/>
        <v>0.10617409223415009</v>
      </c>
      <c r="AG10" s="120">
        <f t="shared" si="11"/>
        <v>1.5057543649755364E-2</v>
      </c>
      <c r="AH10" s="122">
        <f t="shared" si="12"/>
        <v>1</v>
      </c>
      <c r="AI10" s="184">
        <f t="shared" si="13"/>
        <v>3.5454844333748452E-2</v>
      </c>
      <c r="AJ10" s="119">
        <f t="shared" si="14"/>
        <v>4.2253944561746144E-2</v>
      </c>
      <c r="AK10" s="118">
        <f t="shared" si="15"/>
        <v>2.8655744105750752E-2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Beans: kg produced</v>
      </c>
      <c r="B11" s="216">
        <f>IF([1]Summ!E1049="",0,[1]Summ!E1049)</f>
        <v>6.6282310087173099E-2</v>
      </c>
      <c r="C11" s="216">
        <f>IF([1]Summ!F1049="",0,[1]Summ!F1049)</f>
        <v>0</v>
      </c>
      <c r="D11" s="24">
        <f t="shared" si="0"/>
        <v>6.6282310087173099E-2</v>
      </c>
      <c r="E11" s="26">
        <v>1</v>
      </c>
      <c r="H11" s="24">
        <f t="shared" si="1"/>
        <v>1</v>
      </c>
      <c r="I11" s="22">
        <f t="shared" si="2"/>
        <v>6.6282310087173099E-2</v>
      </c>
      <c r="J11" s="24">
        <f t="shared" si="3"/>
        <v>6.6282310087173099E-2</v>
      </c>
      <c r="K11" s="22">
        <f t="shared" si="4"/>
        <v>6.6282310087173099E-2</v>
      </c>
      <c r="L11" s="22">
        <f t="shared" si="5"/>
        <v>6.6282310087173099E-2</v>
      </c>
      <c r="M11" s="226">
        <f t="shared" si="6"/>
        <v>6.6282310087173099E-2</v>
      </c>
      <c r="N11" s="231">
        <v>1</v>
      </c>
      <c r="O11" s="2"/>
      <c r="P11" s="22"/>
      <c r="Q11" s="59" t="s">
        <v>77</v>
      </c>
      <c r="R11" s="224">
        <f>IF($B$68=0,0,(SUMIF($N$6:$N$20,$U11,K$6:K$20)+SUMIF($N$78:$N$100,$U11,K$78:K$100))*$I$70*Poor!$B$68/$B$68)</f>
        <v>3133.76</v>
      </c>
      <c r="S11" s="224">
        <f>IF($B$68=0,0,(SUMIF($N$6:$N$20,$U11,L$6:L$20)+SUMIF($N$78:$N$100,$U11,L$78:L$100))*$I$70*Poor!$B$68/$B$68)</f>
        <v>2893.8199999999997</v>
      </c>
      <c r="T11" s="224">
        <f>IF($B$68=0,0,(SUMIF($N$6:$N$20,$U11,M$6:M$20)+SUMIF($N$78:$N$100,$U11,M$78:M$100))*$I$70*Poor!$B$68/$B$68)</f>
        <v>2893.8199999999997</v>
      </c>
      <c r="U11" s="225">
        <v>5</v>
      </c>
      <c r="V11" s="56"/>
      <c r="W11" s="114"/>
      <c r="X11" s="123">
        <v>1</v>
      </c>
      <c r="Y11" s="184">
        <f t="shared" si="9"/>
        <v>0.2651292403486924</v>
      </c>
      <c r="Z11" s="124">
        <f>IF($Y11=0,0,AA11/$Y11)</f>
        <v>0.29794196925528332</v>
      </c>
      <c r="AA11" s="120">
        <f>IF($X11=1,IF(SUM(AA$6,AA$12:AA$21)&lt;1,IF((1-SUM(AA$6,AA$12:AA$21))*$M11/SUM($M$7*IF($X$7=1,1,0),$M$8*IF($X$8=1,1,0),$M$9*IF($X$9=1,1,0),$M$10*IF($X$10=1,1,0),$M$11*IF($X$11=1,1,0))&lt;Y11,(1-SUM(AA$6,AA$12:AA$21))*$M11/SUM($M$7*IF($X$7=1,1,0),$M$8*IF($X$8=1,1,0),$M$9*IF($X$9=1,1,0),$M$10*IF($X$10=1,1,0),$M$11*IF($X$11=1,1,0)),Y11),0),0)</f>
        <v>7.8993127976646732E-2</v>
      </c>
      <c r="AB11" s="124">
        <f>IF($Y11=0,0,AC11/$Y11)</f>
        <v>0.29794196925528332</v>
      </c>
      <c r="AC11" s="120">
        <f>IF($X11&lt;3,IF(SUM(AC$6,AC$12:AC$21)&lt;1,IF(SUM(AC$6,AC$12:AC$21)+SUM((Y$7-AA$7)*IF($X$7&lt;3,1,0),(Y$8-AA$8)*IF($X$8&lt;3,1,0),(Y$9-AA$9)*IF($X$9&lt;3,1,0),(Y$10-AA$10)*IF($X$10&lt;3,1,0),(Y$11-AA$11)*IF($X$11&lt;3,1,0))&lt;1,Y11-AA11,IF((1-SUM(AC$6,AC$12:AC$21))*$M11/SUM($M$7*IF($X$7&lt;3,1,0),$M$8*IF($X$8&lt;3,1,0),$M$9*IF($X$9&lt;3,1,0),$M$10*IF($X$10&lt;3,1,0),$M$11*IF($X$11&lt;3,1,0))&lt;Y11-AA11,(1-SUM(AC$6,AC$12:AC$21))*$M11/SUM($M$7*IF($X$7&lt;3,1,0),$M$8*IF($X$8&lt;3,1,0),$M$9*IF($X$9&lt;3,1,0),$M$10*IF($X$10&lt;3,1,0),$M$11*IF($X$11&lt;3,1,0)),Y11-AA11)),0),0)</f>
        <v>7.8993127976646732E-2</v>
      </c>
      <c r="AD11" s="124">
        <f>IF($Y11=0,0,AE11/$Y11)</f>
        <v>0.29794196925528332</v>
      </c>
      <c r="AE11" s="120">
        <f>IF($X11&lt;4,IF(SUM(AE$6:AE$6,AE$12:AE$21)&lt;1,IF(SUM(AE$6:AE$6,AE$12:AE$21)+SUM((Y$7-AA$7-AC$7)*IF($X$7&lt;3,1,0),(Y$8-AA$8-AC$8)*IF($X$8&lt;3,1,0),(Y$9-AA$9-AC$9)*IF($X$9&lt;3,1,0),(Y$10-AA$10-AC$10)*IF($X$10&lt;3,1,0),(Y$11-AA$11-AC$11)*IF($X$11&lt;3,1,0))&lt;1,Y11-AA11-AC11,IF((1-SUM(AE$6:AE$6,AE$12:AE$21))*$M11/SUM($M$7*IF($X$7&lt;4,1,0),$M$8*IF($X$8&lt;4,1,0),$M$9*IF($X$9&lt;4,1,0),$M$10*IF($X$10&lt;4,1,0),$M$11*IF($X$11&lt;4,1,0))&lt;Y11-AA11-AC11,(1-SUM(AE$6:AE$6,AE$12:AE$21))*$M11/SUM($M$7*IF($X$7&lt;4,1,0),$M$8*IF($X$8&lt;4,1,0),$M$9*IF($X$9&lt;4,1,0),$M$10*IF($X$10&lt;4,1,0),$M$11*IF($X$11&lt;4,1,0)),Y11-AA11-AC11)),0),0)</f>
        <v>7.8993127976646732E-2</v>
      </c>
      <c r="AF11" s="121">
        <f t="shared" si="10"/>
        <v>0.10617409223415009</v>
      </c>
      <c r="AG11" s="120">
        <f t="shared" si="11"/>
        <v>2.8149856418752214E-2</v>
      </c>
      <c r="AH11" s="122">
        <f t="shared" si="12"/>
        <v>1</v>
      </c>
      <c r="AI11" s="184">
        <f t="shared" si="13"/>
        <v>6.6282310087173099E-2</v>
      </c>
      <c r="AJ11" s="119">
        <f t="shared" si="14"/>
        <v>7.8993127976646732E-2</v>
      </c>
      <c r="AK11" s="118">
        <f t="shared" si="15"/>
        <v>5.3571492197699473E-2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>Pumpkin: kg produce</v>
      </c>
      <c r="B12" s="216">
        <f>IF([1]Summ!E1050="",0,[1]Summ!E1050)</f>
        <v>0</v>
      </c>
      <c r="C12" s="216">
        <f>IF([1]Summ!F1050="",0,[1]Summ!F1050)</f>
        <v>0</v>
      </c>
      <c r="D12" s="24">
        <f t="shared" si="0"/>
        <v>0</v>
      </c>
      <c r="E12" s="26"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6">
        <f t="shared" si="6"/>
        <v>0</v>
      </c>
      <c r="N12" s="231">
        <v>1</v>
      </c>
      <c r="O12" s="2"/>
      <c r="P12" s="22"/>
      <c r="Q12" s="125" t="s">
        <v>126</v>
      </c>
      <c r="R12" s="224">
        <f>IF($B$68=0,0,(SUMIF($N$6:$N$20,$U12,K$6:K$20)+SUMIF($N$78:$N$100,$U12,K$78:K$100))*$I$70*Poor!$B$68/$B$68)</f>
        <v>716.80000000000007</v>
      </c>
      <c r="S12" s="224">
        <f>IF($B$68=0,0,(SUMIF($N$6:$N$20,$U12,L$6:L$20)+SUMIF($N$78:$N$100,$U12,L$78:L$100))*$I$70*Poor!$B$68/$B$68)</f>
        <v>512</v>
      </c>
      <c r="T12" s="224">
        <f>IF($B$68=0,0,(SUMIF($N$6:$N$20,$U12,M$6:M$20)+SUMIF($N$78:$N$100,$U12,M$78:M$100))*$I$70*Poor!$B$68/$B$68)</f>
        <v>920.43248789803476</v>
      </c>
      <c r="U12" s="225">
        <v>6</v>
      </c>
      <c r="V12" s="56"/>
      <c r="W12" s="116"/>
      <c r="X12" s="117"/>
      <c r="Y12" s="184">
        <f t="shared" si="9"/>
        <v>0</v>
      </c>
      <c r="Z12" s="115">
        <v>0</v>
      </c>
      <c r="AA12" s="120">
        <f>$M12*Z12*4</f>
        <v>0</v>
      </c>
      <c r="AB12" s="115">
        <v>0</v>
      </c>
      <c r="AC12" s="120">
        <f>$M12*AB12*4</f>
        <v>0</v>
      </c>
      <c r="AD12" s="115">
        <v>0.67</v>
      </c>
      <c r="AE12" s="120">
        <f>$M12*AD12*4</f>
        <v>0</v>
      </c>
      <c r="AF12" s="121">
        <f>1-SUM(Z12,AB12,AD12)</f>
        <v>0.32999999999999996</v>
      </c>
      <c r="AG12" s="120">
        <f>$M12*AF12*4</f>
        <v>0</v>
      </c>
      <c r="AH12" s="122">
        <f t="shared" si="12"/>
        <v>1</v>
      </c>
      <c r="AI12" s="184">
        <f t="shared" si="13"/>
        <v>0</v>
      </c>
      <c r="AJ12" s="119">
        <f t="shared" si="14"/>
        <v>0</v>
      </c>
      <c r="AK12" s="118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>Water melon: no. local meas</v>
      </c>
      <c r="B13" s="216">
        <f>IF([1]Summ!E1051="",0,[1]Summ!E1051)</f>
        <v>0</v>
      </c>
      <c r="C13" s="216">
        <f>IF([1]Summ!F1051="",0,[1]Summ!F1051)</f>
        <v>0</v>
      </c>
      <c r="D13" s="24">
        <f t="shared" si="0"/>
        <v>0</v>
      </c>
      <c r="E13" s="26"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7">
        <f t="shared" si="6"/>
        <v>0</v>
      </c>
      <c r="N13" s="231">
        <v>1</v>
      </c>
      <c r="O13" s="2"/>
      <c r="P13" s="22"/>
      <c r="Q13" s="59" t="s">
        <v>78</v>
      </c>
      <c r="R13" s="224">
        <f>IF($B$68=0,0,(SUMIF($N$6:$N$20,$U13,K$6:K$20)+SUMIF($N$78:$N$100,$U13,K$78:K$100))*$I$70*Poor!$B$68/$B$68)</f>
        <v>13496.000000000002</v>
      </c>
      <c r="S13" s="224">
        <f>IF($B$68=0,0,(SUMIF($N$6:$N$20,$U13,L$6:L$20)+SUMIF($N$78:$N$100,$U13,L$78:L$100))*$I$70*Poor!$B$68/$B$68)</f>
        <v>12845.385000000002</v>
      </c>
      <c r="T13" s="224">
        <f>IF($B$68=0,0,(SUMIF($N$6:$N$20,$U13,M$6:M$20)+SUMIF($N$78:$N$100,$U13,M$78:M$100))*$I$70*Poor!$B$68/$B$68)</f>
        <v>15414.462000000001</v>
      </c>
      <c r="U13" s="225">
        <v>7</v>
      </c>
      <c r="V13" s="56"/>
      <c r="W13" s="109"/>
      <c r="X13" s="117"/>
      <c r="Y13" s="184">
        <f t="shared" si="9"/>
        <v>0</v>
      </c>
      <c r="Z13" s="115">
        <v>1</v>
      </c>
      <c r="AA13" s="120">
        <f>$M13*Z13*4</f>
        <v>0</v>
      </c>
      <c r="AB13" s="115">
        <v>0</v>
      </c>
      <c r="AC13" s="120">
        <f>$M13*AB13*4</f>
        <v>0</v>
      </c>
      <c r="AD13" s="115">
        <v>0</v>
      </c>
      <c r="AE13" s="120">
        <f>$M13*AD13*4</f>
        <v>0</v>
      </c>
      <c r="AF13" s="121">
        <f>1-SUM(Z13,AB13,AD13)</f>
        <v>0</v>
      </c>
      <c r="AG13" s="120">
        <f>$M13*AF13*4</f>
        <v>0</v>
      </c>
      <c r="AH13" s="122">
        <f t="shared" si="12"/>
        <v>1</v>
      </c>
      <c r="AI13" s="184">
        <f t="shared" si="13"/>
        <v>0</v>
      </c>
      <c r="AJ13" s="119">
        <f t="shared" si="14"/>
        <v>0</v>
      </c>
      <c r="AK13" s="118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>Sweet potato: no. local meas</v>
      </c>
      <c r="B14" s="216">
        <f>IF([1]Summ!E1052="",0,[1]Summ!E1052)</f>
        <v>0</v>
      </c>
      <c r="C14" s="216">
        <f>IF([1]Summ!F1052="",0,[1]Summ!F1052)</f>
        <v>0</v>
      </c>
      <c r="D14" s="24">
        <f t="shared" si="0"/>
        <v>0</v>
      </c>
      <c r="E14" s="233">
        <v>1</v>
      </c>
      <c r="F14" s="22"/>
      <c r="H14" s="24">
        <f t="shared" si="1"/>
        <v>1</v>
      </c>
      <c r="I14" s="22">
        <f t="shared" si="2"/>
        <v>0</v>
      </c>
      <c r="J14" s="24">
        <f>IF(I$24&lt;=1+I113,I14,B14*H14+J$25*(I14-B14*H14))</f>
        <v>0</v>
      </c>
      <c r="K14" s="22">
        <f t="shared" si="4"/>
        <v>0</v>
      </c>
      <c r="L14" s="22">
        <f t="shared" si="5"/>
        <v>0</v>
      </c>
      <c r="M14" s="227">
        <f t="shared" si="6"/>
        <v>0</v>
      </c>
      <c r="N14" s="231">
        <v>1</v>
      </c>
      <c r="O14" s="2"/>
      <c r="P14" s="22"/>
      <c r="Q14" s="125" t="s">
        <v>79</v>
      </c>
      <c r="R14" s="224">
        <f>IF($B$68=0,0,(SUMIF($N$6:$N$20,$U14,K$6:K$20)+SUMIF($N$78:$N$100,$U14,K$78:K$100))*$I$70*Poor!$B$68/$B$68)</f>
        <v>0</v>
      </c>
      <c r="S14" s="224">
        <f>IF($B$68=0,0,(SUMIF($N$6:$N$20,$U14,L$6:L$20)+SUMIF($N$78:$N$100,$U14,L$78:L$100))*$I$70*Poor!$B$68/$B$68)</f>
        <v>0</v>
      </c>
      <c r="T14" s="224">
        <f>IF($B$68=0,0,(SUMIF($N$6:$N$20,$U14,M$6:M$20)+SUMIF($N$78:$N$100,$U14,M$78:M$100))*$I$70*Poor!$B$68/$B$68)</f>
        <v>0</v>
      </c>
      <c r="U14" s="225">
        <v>8</v>
      </c>
      <c r="V14" s="56"/>
      <c r="W14" s="109"/>
      <c r="X14" s="117"/>
      <c r="Y14" s="184">
        <f>M14*4</f>
        <v>0</v>
      </c>
      <c r="Z14" s="115">
        <v>0</v>
      </c>
      <c r="AA14" s="120">
        <f t="shared" ref="AA14:AA21" si="16">$M14*Z14*4</f>
        <v>0</v>
      </c>
      <c r="AB14" s="115">
        <v>1</v>
      </c>
      <c r="AC14" s="120">
        <f t="shared" si="7"/>
        <v>0</v>
      </c>
      <c r="AD14" s="115">
        <v>0</v>
      </c>
      <c r="AE14" s="120">
        <f t="shared" si="8"/>
        <v>0</v>
      </c>
      <c r="AF14" s="121">
        <f t="shared" si="10"/>
        <v>0</v>
      </c>
      <c r="AG14" s="120">
        <f t="shared" si="11"/>
        <v>0</v>
      </c>
      <c r="AH14" s="127">
        <f>SUM(Z14,AB14,AD14,AF14)</f>
        <v>1</v>
      </c>
      <c r="AI14" s="184">
        <f>SUM(AA14,AC14,AE14,AG14)/4</f>
        <v>0</v>
      </c>
      <c r="AJ14" s="119">
        <f t="shared" si="14"/>
        <v>0</v>
      </c>
      <c r="AK14" s="118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>Groundnuts (dry): no. local meas</v>
      </c>
      <c r="B15" s="216">
        <f>IF([1]Summ!E1053="",0,[1]Summ!E1053)</f>
        <v>5.7861784557907844E-2</v>
      </c>
      <c r="C15" s="216">
        <f>IF([1]Summ!F1053="",0,[1]Summ!F1053)</f>
        <v>0</v>
      </c>
      <c r="D15" s="24">
        <f t="shared" si="0"/>
        <v>5.7861784557907844E-2</v>
      </c>
      <c r="E15" s="26">
        <v>1</v>
      </c>
      <c r="F15" s="22"/>
      <c r="H15" s="24">
        <f t="shared" si="1"/>
        <v>1</v>
      </c>
      <c r="I15" s="22">
        <f t="shared" si="2"/>
        <v>5.7861784557907844E-2</v>
      </c>
      <c r="J15" s="24">
        <f>IF(I$24&lt;=1+I113,I15,B15*H15+J$25*(I15-B15*H15))</f>
        <v>5.7861784557907844E-2</v>
      </c>
      <c r="K15" s="22">
        <f t="shared" si="4"/>
        <v>5.7861784557907844E-2</v>
      </c>
      <c r="L15" s="22">
        <f t="shared" si="5"/>
        <v>5.7861784557907844E-2</v>
      </c>
      <c r="M15" s="228">
        <f t="shared" si="6"/>
        <v>5.7861784557907844E-2</v>
      </c>
      <c r="N15" s="231">
        <v>1</v>
      </c>
      <c r="O15" s="2"/>
      <c r="P15" s="22"/>
      <c r="Q15" s="59" t="s">
        <v>129</v>
      </c>
      <c r="R15" s="224">
        <f>IF($B$68=0,0,(SUMIF($N$6:$N$20,$U15,K$6:K$20)+SUMIF($N$78:$N$100,$U15,K$78:K$100))*$I$70*Poor!$B$68/$B$68)</f>
        <v>628.32000000000005</v>
      </c>
      <c r="S15" s="224">
        <f>IF($B$68=0,0,(SUMIF($N$6:$N$20,$U15,L$6:L$20)+SUMIF($N$78:$N$100,$U15,L$78:L$100))*$I$70*Poor!$B$68/$B$68)</f>
        <v>600.27</v>
      </c>
      <c r="T15" s="224">
        <f>IF($B$68=0,0,(SUMIF($N$6:$N$20,$U15,M$6:M$20)+SUMIF($N$78:$N$100,$U15,M$78:M$100))*$I$70*Poor!$B$68/$B$68)</f>
        <v>600.27</v>
      </c>
      <c r="U15" s="225">
        <v>9</v>
      </c>
      <c r="V15" s="56"/>
      <c r="W15" s="109"/>
      <c r="X15" s="117"/>
      <c r="Y15" s="184">
        <f t="shared" si="9"/>
        <v>0.23144713823163138</v>
      </c>
      <c r="Z15" s="115">
        <v>0.25</v>
      </c>
      <c r="AA15" s="120">
        <f t="shared" si="16"/>
        <v>5.7861784557907844E-2</v>
      </c>
      <c r="AB15" s="115">
        <v>0.25</v>
      </c>
      <c r="AC15" s="120">
        <f t="shared" si="7"/>
        <v>5.7861784557907844E-2</v>
      </c>
      <c r="AD15" s="115">
        <v>0.25</v>
      </c>
      <c r="AE15" s="120">
        <f t="shared" si="8"/>
        <v>5.7861784557907844E-2</v>
      </c>
      <c r="AF15" s="121">
        <f t="shared" si="10"/>
        <v>0.25</v>
      </c>
      <c r="AG15" s="120">
        <f t="shared" si="11"/>
        <v>5.7861784557907844E-2</v>
      </c>
      <c r="AH15" s="122">
        <f t="shared" si="12"/>
        <v>1</v>
      </c>
      <c r="AI15" s="184">
        <f t="shared" si="13"/>
        <v>5.7861784557907844E-2</v>
      </c>
      <c r="AJ15" s="119">
        <f t="shared" si="14"/>
        <v>5.7861784557907844E-2</v>
      </c>
      <c r="AK15" s="118">
        <f t="shared" si="15"/>
        <v>5.7861784557907844E-2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>WILD FOODS -- see worksheet Data 3</v>
      </c>
      <c r="B16" s="216">
        <f>IF([1]Summ!E1054="",0,[1]Summ!E1054)</f>
        <v>0</v>
      </c>
      <c r="C16" s="216">
        <f>IF([1]Summ!F1054="",0,[1]Summ!F1054)</f>
        <v>0.05</v>
      </c>
      <c r="D16" s="24">
        <f t="shared" si="0"/>
        <v>0.05</v>
      </c>
      <c r="E16" s="26">
        <v>0.8</v>
      </c>
      <c r="F16" s="22"/>
      <c r="H16" s="24">
        <f t="shared" si="1"/>
        <v>0.8</v>
      </c>
      <c r="I16" s="22">
        <f t="shared" si="2"/>
        <v>4.0000000000000008E-2</v>
      </c>
      <c r="J16" s="24">
        <f>IF(I$24&lt;=1+I113,I16,B16*H16+J$25*(I16-B16*H16))</f>
        <v>4.0000000000000008E-2</v>
      </c>
      <c r="K16" s="22">
        <f t="shared" si="4"/>
        <v>0</v>
      </c>
      <c r="L16" s="22">
        <f t="shared" si="5"/>
        <v>0</v>
      </c>
      <c r="M16" s="226">
        <f t="shared" si="6"/>
        <v>4.0000000000000008E-2</v>
      </c>
      <c r="N16" s="231">
        <v>6</v>
      </c>
      <c r="O16" s="2"/>
      <c r="P16" s="22"/>
      <c r="Q16" s="125" t="s">
        <v>80</v>
      </c>
      <c r="R16" s="224">
        <f>IF($B$68=0,0,(SUMIF($N$6:$N$20,$U16,K$6:K$20)+SUMIF($N$78:$N$100,$U16,K$78:K$100))*$I$70*Poor!$B$68/$B$68)</f>
        <v>4592.0000000000009</v>
      </c>
      <c r="S16" s="224">
        <f>IF($B$68=0,0,(SUMIF($N$6:$N$20,$U16,L$6:L$20)+SUMIF($N$78:$N$100,$U16,L$78:L$100))*$I$70*Poor!$B$68/$B$68)</f>
        <v>4510.0000000000009</v>
      </c>
      <c r="T16" s="224">
        <f>IF($B$68=0,0,(SUMIF($N$6:$N$20,$U16,M$6:M$20)+SUMIF($N$78:$N$100,$U16,M$78:M$100))*$I$70*Poor!$B$68/$B$68)</f>
        <v>5412.0000000000009</v>
      </c>
      <c r="U16" s="225">
        <v>10</v>
      </c>
      <c r="V16" s="56"/>
      <c r="W16" s="109"/>
      <c r="X16" s="117"/>
      <c r="Y16" s="184">
        <f t="shared" si="9"/>
        <v>0.16000000000000003</v>
      </c>
      <c r="Z16" s="115">
        <v>0</v>
      </c>
      <c r="AA16" s="120">
        <f t="shared" si="16"/>
        <v>0</v>
      </c>
      <c r="AB16" s="115">
        <v>0</v>
      </c>
      <c r="AC16" s="120">
        <f t="shared" si="7"/>
        <v>0</v>
      </c>
      <c r="AD16" s="115">
        <v>0</v>
      </c>
      <c r="AE16" s="120">
        <f t="shared" si="8"/>
        <v>0</v>
      </c>
      <c r="AF16" s="121">
        <f t="shared" si="10"/>
        <v>1</v>
      </c>
      <c r="AG16" s="120">
        <f t="shared" si="11"/>
        <v>0.16000000000000003</v>
      </c>
      <c r="AH16" s="122">
        <f t="shared" si="12"/>
        <v>1</v>
      </c>
      <c r="AI16" s="184">
        <f t="shared" si="13"/>
        <v>4.0000000000000008E-2</v>
      </c>
      <c r="AJ16" s="119">
        <f t="shared" si="14"/>
        <v>0</v>
      </c>
      <c r="AK16" s="118">
        <f t="shared" si="15"/>
        <v>8.0000000000000016E-2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>Labour: Harvesting</v>
      </c>
      <c r="B17" s="216">
        <f>IF([1]Summ!E1055="",0,[1]Summ!E1055)</f>
        <v>0</v>
      </c>
      <c r="C17" s="216">
        <f>IF([1]Summ!F1055="",0,[1]Summ!F1055)</f>
        <v>0</v>
      </c>
      <c r="D17" s="24">
        <f>SUM(B17,C17)</f>
        <v>0</v>
      </c>
      <c r="E17" s="26">
        <v>0.87</v>
      </c>
      <c r="F17" s="22"/>
      <c r="H17" s="24">
        <f t="shared" si="1"/>
        <v>0.87</v>
      </c>
      <c r="I17" s="22">
        <f t="shared" si="2"/>
        <v>0</v>
      </c>
      <c r="J17" s="24">
        <f>IF(I$24&lt;=1+I113,I17,B17*H17+J$25*(I17-B17*H17))</f>
        <v>0</v>
      </c>
      <c r="K17" s="22">
        <f t="shared" si="4"/>
        <v>0</v>
      </c>
      <c r="L17" s="22">
        <f t="shared" si="5"/>
        <v>0</v>
      </c>
      <c r="M17" s="227">
        <f t="shared" si="6"/>
        <v>0</v>
      </c>
      <c r="N17" s="231">
        <v>7</v>
      </c>
      <c r="O17" s="2"/>
      <c r="P17" s="22"/>
      <c r="Q17" s="125" t="s">
        <v>127</v>
      </c>
      <c r="R17" s="224">
        <f>IF($B$68=0,0,(SUMIF($N$6:$N$20,$U17,K$6:K$20)+SUMIF($N$78:$N$100,$U17,K$78:K$100))*$I$70*Poor!$B$68/$B$68)</f>
        <v>940.80000000000007</v>
      </c>
      <c r="S17" s="224">
        <f>IF($B$68=0,0,(SUMIF($N$6:$N$20,$U17,L$6:L$20)+SUMIF($N$78:$N$100,$U17,L$78:L$100))*$I$70*Poor!$B$68/$B$68)</f>
        <v>882.00000000000011</v>
      </c>
      <c r="T17" s="224">
        <f>IF($B$68=0,0,(SUMIF($N$6:$N$20,$U17,M$6:M$20)+SUMIF($N$78:$N$100,$U17,M$78:M$100))*$I$70*Poor!$B$68/$B$68)</f>
        <v>882.00000000000011</v>
      </c>
      <c r="U17" s="225">
        <v>11</v>
      </c>
      <c r="V17" s="56"/>
      <c r="W17" s="109"/>
      <c r="X17" s="117"/>
      <c r="Y17" s="184">
        <f t="shared" si="9"/>
        <v>0</v>
      </c>
      <c r="Z17" s="115">
        <v>0.29409999999999997</v>
      </c>
      <c r="AA17" s="120">
        <f t="shared" si="16"/>
        <v>0</v>
      </c>
      <c r="AB17" s="115">
        <v>0.17649999999999999</v>
      </c>
      <c r="AC17" s="120">
        <f t="shared" si="7"/>
        <v>0</v>
      </c>
      <c r="AD17" s="115">
        <v>0.23530000000000001</v>
      </c>
      <c r="AE17" s="120">
        <f t="shared" si="8"/>
        <v>0</v>
      </c>
      <c r="AF17" s="121">
        <f t="shared" si="10"/>
        <v>0.29410000000000003</v>
      </c>
      <c r="AG17" s="120">
        <f t="shared" si="11"/>
        <v>0</v>
      </c>
      <c r="AH17" s="122">
        <f t="shared" si="12"/>
        <v>1</v>
      </c>
      <c r="AI17" s="184">
        <f t="shared" si="13"/>
        <v>0</v>
      </c>
      <c r="AJ17" s="119">
        <f t="shared" si="14"/>
        <v>0</v>
      </c>
      <c r="AK17" s="118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>Food aid</v>
      </c>
      <c r="B18" s="216">
        <f>IF([1]Summ!E1056="",0,[1]Summ!E1056)</f>
        <v>8.1648184387910425E-2</v>
      </c>
      <c r="C18" s="216">
        <f>IF([1]Summ!F1056="",0,[1]Summ!F1056)</f>
        <v>0</v>
      </c>
      <c r="D18" s="24">
        <f>SUM(B18,C18)</f>
        <v>8.1648184387910425E-2</v>
      </c>
      <c r="E18" s="26">
        <v>1</v>
      </c>
      <c r="F18" s="22"/>
      <c r="H18" s="24">
        <f t="shared" si="1"/>
        <v>1</v>
      </c>
      <c r="I18" s="22">
        <f t="shared" si="2"/>
        <v>8.1648184387910425E-2</v>
      </c>
      <c r="J18" s="24">
        <f>IF(I$24&lt;=1+I113,I18,B18*H18+J$25*(I18-B18*H18))</f>
        <v>8.1648184387910425E-2</v>
      </c>
      <c r="K18" s="22">
        <f t="shared" si="4"/>
        <v>8.1648184387910425E-2</v>
      </c>
      <c r="L18" s="22">
        <f t="shared" si="5"/>
        <v>8.1648184387910425E-2</v>
      </c>
      <c r="M18" s="226">
        <f t="shared" si="6"/>
        <v>8.1648184387910425E-2</v>
      </c>
      <c r="N18" s="231">
        <v>12</v>
      </c>
      <c r="O18" s="2"/>
      <c r="P18" s="22"/>
      <c r="Q18" s="59" t="s">
        <v>81</v>
      </c>
      <c r="R18" s="224">
        <f>IF($B$68=0,0,(SUMIF($N$6:$N$20,$U18,K$6:K$20)+SUMIF($N$78:$N$100,$U18,K$78:K$100))*$I$70*Poor!$B$68/$B$68)</f>
        <v>654.06827139439042</v>
      </c>
      <c r="S18" s="224">
        <f>IF($B$68=0,0,(SUMIF($N$6:$N$20,$U18,L$6:L$20)+SUMIF($N$78:$N$100,$U18,L$78:L$100))*$I$70*Poor!$B$68/$B$68)</f>
        <v>654.06827139439042</v>
      </c>
      <c r="T18" s="224">
        <f>IF($B$68=0,0,(SUMIF($N$6:$N$20,$U18,M$6:M$20)+SUMIF($N$78:$N$100,$U18,M$78:M$100))*$I$70*Poor!$B$68/$B$68)</f>
        <v>654.06827139439042</v>
      </c>
      <c r="U18" s="225">
        <v>12</v>
      </c>
      <c r="V18" s="56"/>
      <c r="W18" s="109"/>
      <c r="X18" s="117"/>
      <c r="Y18" s="184">
        <f t="shared" si="9"/>
        <v>0.3265927375516417</v>
      </c>
      <c r="Z18" s="115">
        <v>0.25</v>
      </c>
      <c r="AA18" s="120">
        <f t="shared" si="16"/>
        <v>8.1648184387910425E-2</v>
      </c>
      <c r="AB18" s="115">
        <v>0.25</v>
      </c>
      <c r="AC18" s="120">
        <f t="shared" si="7"/>
        <v>8.1648184387910425E-2</v>
      </c>
      <c r="AD18" s="115">
        <v>0.25</v>
      </c>
      <c r="AE18" s="120">
        <f t="shared" si="8"/>
        <v>8.1648184387910425E-2</v>
      </c>
      <c r="AF18" s="121">
        <f t="shared" si="10"/>
        <v>0.25</v>
      </c>
      <c r="AG18" s="120">
        <f t="shared" si="11"/>
        <v>8.1648184387910425E-2</v>
      </c>
      <c r="AH18" s="122">
        <f t="shared" si="12"/>
        <v>1</v>
      </c>
      <c r="AI18" s="184">
        <f t="shared" si="13"/>
        <v>8.1648184387910425E-2</v>
      </c>
      <c r="AJ18" s="119">
        <f t="shared" si="14"/>
        <v>8.1648184387910425E-2</v>
      </c>
      <c r="AK18" s="118">
        <f t="shared" si="15"/>
        <v>8.1648184387910425E-2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>Purchase - other food</v>
      </c>
      <c r="B19" s="216">
        <f>IF([1]Summ!E1057="",0,[1]Summ!E1057)</f>
        <v>3.2171701120797008E-2</v>
      </c>
      <c r="C19" s="216">
        <f>IF([1]Summ!F1057="",0,[1]Summ!F1057)</f>
        <v>-3.2171701120797008E-2</v>
      </c>
      <c r="D19" s="24">
        <f>SUM(B19,C19)</f>
        <v>0</v>
      </c>
      <c r="E19" s="26">
        <v>1</v>
      </c>
      <c r="F19" s="22"/>
      <c r="H19" s="24">
        <f t="shared" si="1"/>
        <v>1</v>
      </c>
      <c r="I19" s="22">
        <f t="shared" si="2"/>
        <v>0</v>
      </c>
      <c r="J19" s="24">
        <f>IF(I$24&lt;=1+I113,I19,B19*H19+J$25*(I19-B19*H19))</f>
        <v>0</v>
      </c>
      <c r="K19" s="22">
        <f t="shared" si="4"/>
        <v>3.2171701120797008E-2</v>
      </c>
      <c r="L19" s="22">
        <f t="shared" si="5"/>
        <v>3.2171701120797008E-2</v>
      </c>
      <c r="M19" s="228">
        <f t="shared" si="6"/>
        <v>0</v>
      </c>
      <c r="N19" s="231"/>
      <c r="O19" s="2"/>
      <c r="P19" s="22"/>
      <c r="Q19" s="59" t="s">
        <v>82</v>
      </c>
      <c r="R19" s="224">
        <f>IF($B$68=0,0,(SUMIF($N$6:$N$20,$U19,K$6:K$20)+SUMIF($N$78:$N$100,$U19,K$78:K$100))*$I$70*Poor!$B$68/$B$68)</f>
        <v>0</v>
      </c>
      <c r="S19" s="224">
        <f>IF($B$68=0,0,(SUMIF($N$6:$N$20,$U19,L$6:L$20)+SUMIF($N$78:$N$100,$U19,L$78:L$100))*$I$70*Poor!$B$68/$B$68)</f>
        <v>0</v>
      </c>
      <c r="T19" s="224">
        <f>IF($B$68=0,0,(SUMIF($N$6:$N$20,$U19,M$6:M$20)+SUMIF($N$78:$N$100,$U19,M$78:M$100))*$I$70*Poor!$B$68/$B$68)</f>
        <v>0</v>
      </c>
      <c r="U19" s="225">
        <v>13</v>
      </c>
      <c r="V19" s="56"/>
      <c r="W19" s="109"/>
      <c r="X19" s="117"/>
      <c r="Y19" s="184">
        <f t="shared" si="9"/>
        <v>0</v>
      </c>
      <c r="Z19" s="115">
        <v>0.25</v>
      </c>
      <c r="AA19" s="120">
        <f t="shared" si="16"/>
        <v>0</v>
      </c>
      <c r="AB19" s="115">
        <v>0.25</v>
      </c>
      <c r="AC19" s="120">
        <f t="shared" si="7"/>
        <v>0</v>
      </c>
      <c r="AD19" s="115">
        <v>0.25</v>
      </c>
      <c r="AE19" s="120">
        <f t="shared" si="8"/>
        <v>0</v>
      </c>
      <c r="AF19" s="121">
        <f t="shared" si="10"/>
        <v>0.25</v>
      </c>
      <c r="AG19" s="120">
        <f t="shared" si="11"/>
        <v>0</v>
      </c>
      <c r="AH19" s="122">
        <f t="shared" si="12"/>
        <v>1</v>
      </c>
      <c r="AI19" s="184">
        <f t="shared" si="13"/>
        <v>0</v>
      </c>
      <c r="AJ19" s="119">
        <f t="shared" si="14"/>
        <v>0</v>
      </c>
      <c r="AK19" s="118">
        <f t="shared" si="15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>Purchase - desirable</v>
      </c>
      <c r="B20" s="216">
        <f>IF([1]Summ!E1058="",0,[1]Summ!E1058)</f>
        <v>0</v>
      </c>
      <c r="C20" s="216">
        <f>IF([1]Summ!F1058="",0,[1]Summ!F1058)</f>
        <v>0</v>
      </c>
      <c r="D20" s="24">
        <f>SUM(B20,C20)</f>
        <v>0</v>
      </c>
      <c r="E20" s="26">
        <v>1</v>
      </c>
      <c r="F20" s="22"/>
      <c r="H20" s="24">
        <f t="shared" si="1"/>
        <v>1</v>
      </c>
      <c r="I20" s="22">
        <f t="shared" si="2"/>
        <v>0</v>
      </c>
      <c r="J20" s="24">
        <f>IF(I$24&lt;=1+I113,I20,B20*H20+J$25*(I20-B20*H20))</f>
        <v>0</v>
      </c>
      <c r="K20" s="22">
        <f t="shared" si="4"/>
        <v>0</v>
      </c>
      <c r="L20" s="22">
        <f t="shared" si="5"/>
        <v>0</v>
      </c>
      <c r="M20" s="226">
        <f t="shared" si="6"/>
        <v>0</v>
      </c>
      <c r="N20" s="231"/>
      <c r="O20" s="2"/>
      <c r="P20" s="22"/>
      <c r="Q20" s="59" t="s">
        <v>83</v>
      </c>
      <c r="R20" s="224">
        <f>IF($B$68=0,0,(SUMIF($N$6:$N$20,$U20,K$6:K$20)+SUMIF($N$78:$N$100,$U20,K$78:K$100))*$I$70*Poor!$B$68/$B$68)</f>
        <v>22378.617310981866</v>
      </c>
      <c r="S20" s="224">
        <f>IF($B$68=0,0,(SUMIF($N$6:$N$20,$U20,L$6:L$20)+SUMIF($N$78:$N$100,$U20,L$78:L$100))*$I$70*Poor!$B$68/$B$68)</f>
        <v>22178.808227848105</v>
      </c>
      <c r="T20" s="224">
        <f>IF($B$68=0,0,(SUMIF($N$6:$N$20,$U20,M$6:M$20)+SUMIF($N$78:$N$100,$U20,M$78:M$100))*$I$70*Poor!$B$68/$B$68)</f>
        <v>22178.808227848105</v>
      </c>
      <c r="U20" s="225">
        <v>14</v>
      </c>
      <c r="V20" s="56"/>
      <c r="W20" s="109"/>
      <c r="X20" s="117"/>
      <c r="Y20" s="184">
        <f t="shared" si="9"/>
        <v>0</v>
      </c>
      <c r="Z20" s="115">
        <v>0</v>
      </c>
      <c r="AA20" s="120">
        <f t="shared" si="16"/>
        <v>0</v>
      </c>
      <c r="AB20" s="115">
        <v>0</v>
      </c>
      <c r="AC20" s="120">
        <f t="shared" si="7"/>
        <v>0</v>
      </c>
      <c r="AD20" s="115">
        <v>0.5</v>
      </c>
      <c r="AE20" s="120">
        <f t="shared" si="8"/>
        <v>0</v>
      </c>
      <c r="AF20" s="121">
        <f t="shared" si="10"/>
        <v>0.5</v>
      </c>
      <c r="AG20" s="120">
        <f t="shared" si="11"/>
        <v>0</v>
      </c>
      <c r="AH20" s="122">
        <f t="shared" si="12"/>
        <v>1</v>
      </c>
      <c r="AI20" s="184">
        <f t="shared" si="13"/>
        <v>0</v>
      </c>
      <c r="AJ20" s="119">
        <f t="shared" si="14"/>
        <v>0</v>
      </c>
      <c r="AK20" s="118">
        <f t="shared" si="15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>Purchase - fpl non staple</v>
      </c>
      <c r="B21" s="216">
        <f>IF([1]Summ!E1059="",0,[1]Summ!E1059)</f>
        <v>0.2047118648816936</v>
      </c>
      <c r="C21" s="216">
        <f>IF([1]Summ!F1059="",0,[1]Summ!F1059)</f>
        <v>0.38149174542791303</v>
      </c>
      <c r="D21" s="24">
        <f>SUM(B21,C21)</f>
        <v>0.58620361030960666</v>
      </c>
      <c r="E21" s="26">
        <v>1</v>
      </c>
      <c r="F21" s="22"/>
      <c r="H21" s="24">
        <f t="shared" si="1"/>
        <v>1</v>
      </c>
      <c r="I21" s="22">
        <f t="shared" si="2"/>
        <v>0.58620361030960666</v>
      </c>
      <c r="J21" s="24">
        <f>IF(I$24&lt;=1+I113,I21,B21*H21+J$25*(I21-B21*H21))</f>
        <v>0.58620361030960666</v>
      </c>
      <c r="K21" s="22">
        <f t="shared" si="4"/>
        <v>0.2047118648816936</v>
      </c>
      <c r="L21" s="22">
        <f t="shared" si="5"/>
        <v>0.2047118648816936</v>
      </c>
      <c r="M21" s="226">
        <f t="shared" si="6"/>
        <v>0.58620361030960666</v>
      </c>
      <c r="N21" s="231"/>
      <c r="P21" s="22"/>
      <c r="Q21" s="59" t="s">
        <v>84</v>
      </c>
      <c r="R21" s="224">
        <f>IF($B$68=0,0,(SUMIF($N$6:$N$20,$U21,K$6:K$20)+SUMIF($N$78:$N$100,$U21,K$78:K$100))*$I$70*Poor!$B$68/$B$68)</f>
        <v>4032.0000000000005</v>
      </c>
      <c r="S21" s="224">
        <f>IF($B$68=0,0,(SUMIF($N$6:$N$20,$U21,L$6:L$20)+SUMIF($N$78:$N$100,$U21,L$78:L$100))*$I$70*Poor!$B$68/$B$68)</f>
        <v>3780.0000000000005</v>
      </c>
      <c r="T21" s="224">
        <f>IF($B$68=0,0,(SUMIF($N$6:$N$20,$U21,M$6:M$20)+SUMIF($N$78:$N$100,$U21,M$78:M$100))*$I$70*Poor!$B$68/$B$68)</f>
        <v>3780.0000000000005</v>
      </c>
      <c r="U21" s="225">
        <v>15</v>
      </c>
      <c r="V21" s="56"/>
      <c r="W21" s="109"/>
      <c r="X21" s="117"/>
      <c r="Y21" s="184">
        <f t="shared" si="9"/>
        <v>2.3448144412384266</v>
      </c>
      <c r="Z21" s="115">
        <v>0.25</v>
      </c>
      <c r="AA21" s="120">
        <f t="shared" si="16"/>
        <v>0.58620361030960666</v>
      </c>
      <c r="AB21" s="115">
        <v>0.25</v>
      </c>
      <c r="AC21" s="120">
        <f t="shared" si="7"/>
        <v>0.58620361030960666</v>
      </c>
      <c r="AD21" s="115">
        <v>0.25</v>
      </c>
      <c r="AE21" s="120">
        <f t="shared" si="8"/>
        <v>0.58620361030960666</v>
      </c>
      <c r="AF21" s="121">
        <f t="shared" si="10"/>
        <v>0.25</v>
      </c>
      <c r="AG21" s="120">
        <f t="shared" si="11"/>
        <v>0.58620361030960666</v>
      </c>
      <c r="AH21" s="122">
        <f t="shared" si="12"/>
        <v>1</v>
      </c>
      <c r="AI21" s="184">
        <f t="shared" si="13"/>
        <v>0.58620361030960666</v>
      </c>
      <c r="AJ21" s="119">
        <f t="shared" si="14"/>
        <v>0.58620361030960666</v>
      </c>
      <c r="AK21" s="118">
        <f t="shared" si="15"/>
        <v>0.58620361030960666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 thickBot="1">
      <c r="A22" s="85" t="str">
        <f>IF([1]Summ!$A1060="","",[1]Summ!$A1060)</f>
        <v>Purchase - staple</v>
      </c>
      <c r="B22" s="216">
        <f>IF([1]Summ!E1060="",0,[1]Summ!E1060)</f>
        <v>0.62914968866749699</v>
      </c>
      <c r="C22" s="102"/>
      <c r="D22" s="24">
        <f>(D101-B106)</f>
        <v>4.8140665343589477</v>
      </c>
      <c r="E22" s="29">
        <v>1</v>
      </c>
      <c r="F22" s="96"/>
      <c r="G22" s="96"/>
      <c r="H22" s="97">
        <f>(E22*F$7/F$9)</f>
        <v>1</v>
      </c>
      <c r="I22" s="29">
        <f>IF(E22&gt;=1,I101-SUM(I106,I107),MIN(I101-SUM(I106,I107),B22*H22))</f>
        <v>2.9245550079349201</v>
      </c>
      <c r="J22" s="238">
        <f>IF(I$24&lt;=$B$24,I22,$B$24-SUM(J6:J21))</f>
        <v>0.23982964436038101</v>
      </c>
      <c r="K22" s="22">
        <f t="shared" si="4"/>
        <v>0.62914968866749699</v>
      </c>
      <c r="L22" s="22">
        <f>IF(L106=L101,0,IF(K22="",0,(L101-L106)/(B101-B106)*K22))</f>
        <v>0.59327725576214563</v>
      </c>
      <c r="M22" s="174">
        <f t="shared" si="6"/>
        <v>0.23982964436038101</v>
      </c>
      <c r="N22" s="165" t="s">
        <v>88</v>
      </c>
      <c r="O22" s="2"/>
      <c r="P22" s="22"/>
      <c r="Q22" s="59" t="s">
        <v>85</v>
      </c>
      <c r="R22" s="224">
        <f>IF($B$68=0,0,(SUMIF($N$6:$N$20,$U22,K$6:K$20)+SUMIF($N$78:$N$100,$U22,K$78:K$100))*$I$70*Poor!$B$68/$B$68)</f>
        <v>0</v>
      </c>
      <c r="S22" s="224">
        <f>IF($B$68=0,0,(SUMIF($N$6:$N$20,$U22,L$6:L$20)+SUMIF($N$78:$N$100,$U22,L$78:L$100))*$I$70*Poor!$B$68/$B$68)</f>
        <v>0</v>
      </c>
      <c r="T22" s="224">
        <f>IF($B$68=0,0,(SUMIF($N$6:$N$20,$U22,M$6:M$20)+SUMIF($N$78:$N$100,$U22,M$78:M$100))*$I$70*Poor!$B$68/$B$68)</f>
        <v>0</v>
      </c>
      <c r="U22" s="225">
        <v>16</v>
      </c>
      <c r="V22" s="56"/>
      <c r="W22" s="109"/>
      <c r="X22" s="117"/>
      <c r="Y22" s="184">
        <f>M22*4</f>
        <v>0.95931857744152405</v>
      </c>
      <c r="Z22" s="121">
        <f>IF($Y22=0,0,AA22/($Y$22))</f>
        <v>0</v>
      </c>
      <c r="AA22" s="188">
        <f>IF(AA66*4/$I$70+SUM(AA6:AA21)&lt;1,AA66*4/$I$70,1-SUM(AA6:AA21))</f>
        <v>0</v>
      </c>
      <c r="AB22" s="121">
        <f>IF($Y22=0,0,AC22/($Y$22))</f>
        <v>0</v>
      </c>
      <c r="AC22" s="188">
        <f>IF(AC66*4/$I$70+SUM(AC6:AC21)&lt;1,AC66*4/$I$70,1-SUM(AC6:AC21))</f>
        <v>0</v>
      </c>
      <c r="AD22" s="121">
        <f>IF($Y22=0,0,AE22/($Y$22))</f>
        <v>0</v>
      </c>
      <c r="AE22" s="188">
        <f>IF(AE66*4/$I$70+SUM(AE6:AE21)&lt;1,AE66*4/$I$70,1-SUM(AE6:AE21))</f>
        <v>0</v>
      </c>
      <c r="AF22" s="121">
        <f>IF($Y22=0,0,AG22/($Y$22))</f>
        <v>5.4792811643717574E-3</v>
      </c>
      <c r="AG22" s="188">
        <f>IF(AG66*4/$I$70+SUM(AG6:AG21)&lt;1,AG66*4/$I$70,1-SUM(AG6:AG21))</f>
        <v>5.2563762120072521E-3</v>
      </c>
      <c r="AH22" s="122">
        <f t="shared" si="12"/>
        <v>5.4792811643717574E-3</v>
      </c>
      <c r="AI22" s="184">
        <f t="shared" si="13"/>
        <v>1.314094053001813E-3</v>
      </c>
      <c r="AJ22" s="119">
        <f t="shared" si="14"/>
        <v>0</v>
      </c>
      <c r="AK22" s="118">
        <f t="shared" si="15"/>
        <v>2.6281881060036261E-3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95" t="s">
        <v>59</v>
      </c>
      <c r="B23" s="101" t="str">
        <f>IF(1-$B$24&gt;0,1-$B$24,"")</f>
        <v/>
      </c>
      <c r="C23" s="29"/>
      <c r="D23" s="24"/>
      <c r="E23" s="22"/>
      <c r="F23" s="22"/>
      <c r="H23" s="24"/>
      <c r="I23" s="22"/>
      <c r="J23" s="239">
        <f>($B$24-SUM(J6:J22))</f>
        <v>0</v>
      </c>
      <c r="K23" s="22" t="str">
        <f t="shared" si="4"/>
        <v/>
      </c>
      <c r="L23" s="22">
        <f>(1-SUM(L6:L22))</f>
        <v>-0.20264311740202778</v>
      </c>
      <c r="M23" s="177">
        <f t="shared" si="6"/>
        <v>0</v>
      </c>
      <c r="N23" s="166">
        <f>M23*I70</f>
        <v>0</v>
      </c>
      <c r="P23" s="22"/>
      <c r="Q23" s="170" t="s">
        <v>102</v>
      </c>
      <c r="R23" s="179">
        <f>SUM(R7:R22)</f>
        <v>52902.183028208383</v>
      </c>
      <c r="S23" s="179">
        <f>SUM(S7:S22)</f>
        <v>51186.16894507462</v>
      </c>
      <c r="T23" s="179">
        <f>SUM(T7:T22)</f>
        <v>55065.678432972658</v>
      </c>
      <c r="U23" s="241" t="s">
        <v>143</v>
      </c>
      <c r="V23" s="240"/>
      <c r="W23" s="128" t="s">
        <v>86</v>
      </c>
      <c r="X23" s="129"/>
      <c r="Y23" s="120">
        <f>M23*4</f>
        <v>0</v>
      </c>
      <c r="Z23" s="130"/>
      <c r="AA23" s="131">
        <f>1-AA24+IF($Y24&lt;0,$Y24/4,0)</f>
        <v>0</v>
      </c>
      <c r="AB23" s="130"/>
      <c r="AC23" s="132">
        <f>1-AC24+IF($Y24&lt;0,$Y24/4,0)</f>
        <v>0</v>
      </c>
      <c r="AD23" s="133"/>
      <c r="AE23" s="132">
        <f>1-AE24+IF($Y24&lt;0,$Y24/4,0)</f>
        <v>0</v>
      </c>
      <c r="AF23" s="133"/>
      <c r="AG23" s="132">
        <f>1-AG24+IF($Y24&lt;0,$Y24/4,0)</f>
        <v>0</v>
      </c>
      <c r="AH23" s="122"/>
      <c r="AI23" s="183">
        <f>SUM(AA23,AC23,AE23,AG23)/4</f>
        <v>0</v>
      </c>
      <c r="AJ23" s="134">
        <f t="shared" si="14"/>
        <v>0</v>
      </c>
      <c r="AK23" s="135">
        <f t="shared" si="15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Bot="1">
      <c r="A24" s="29" t="s">
        <v>25</v>
      </c>
      <c r="B24" s="29">
        <f>SUM(B6:B22)</f>
        <v>1.2385155503073793</v>
      </c>
      <c r="C24" s="29">
        <f>SUM(C6:C23)</f>
        <v>0.39932004430711604</v>
      </c>
      <c r="D24" s="24">
        <f>SUM(D6:D22)</f>
        <v>5.8227524403059459</v>
      </c>
      <c r="E24" s="2"/>
      <c r="F24" s="2"/>
      <c r="H24" s="17"/>
      <c r="I24" s="22">
        <f>SUM(I6:I22)</f>
        <v>3.9232409138819184</v>
      </c>
      <c r="J24" s="17"/>
      <c r="L24" s="22">
        <f>SUM(L6:L22)</f>
        <v>1.2026431174020278</v>
      </c>
      <c r="M24" s="23"/>
      <c r="N24" s="167" t="s">
        <v>89</v>
      </c>
      <c r="O24" s="2"/>
      <c r="P24" s="22"/>
      <c r="Q24" s="59" t="s">
        <v>140</v>
      </c>
      <c r="R24" s="41">
        <f>IF($B$68=0,0,($B$106*$H$106)+1-($D$21*$H$21)-($D$20*$H$20))*$I$70*Poor!$B$68/$B$68</f>
        <v>18678.904463959963</v>
      </c>
      <c r="S24" s="41">
        <f>IF($B$68=0,0,($B$106*($H$106)+1-($D$21*$H$21)-($D$20*$H$20))*$I$70*Poor!$B$68/$B$68)</f>
        <v>18678.904463959963</v>
      </c>
      <c r="T24" s="41">
        <f>IF($B$68=0,0,($B$106*($H$106)+1-($D$21*$H$21)-($D$20*$H$20))*$I$70*[2]Poor!$B$68/$B$68)</f>
        <v>18678.904463959963</v>
      </c>
      <c r="U24" s="242">
        <f>T24/Poor!$B$68/12</f>
        <v>259.42922866611059</v>
      </c>
      <c r="W24" s="109"/>
      <c r="X24" s="117"/>
      <c r="Y24" s="114">
        <f>SUM(Y6:Y23)</f>
        <v>4.954062201229517</v>
      </c>
      <c r="Z24" s="136"/>
      <c r="AA24" s="137">
        <f>SUM(AA6:AA22)</f>
        <v>1</v>
      </c>
      <c r="AB24" s="136"/>
      <c r="AC24" s="138">
        <f>SUM(AC6:AC22)</f>
        <v>1</v>
      </c>
      <c r="AD24" s="136"/>
      <c r="AE24" s="138">
        <f>SUM(AE6:AE22)</f>
        <v>1</v>
      </c>
      <c r="AF24" s="136"/>
      <c r="AG24" s="138">
        <f>SUM(AG6:AG22)</f>
        <v>1</v>
      </c>
      <c r="AH24" s="126"/>
      <c r="AI24" s="109"/>
      <c r="AJ24" s="139">
        <f>SUM(AJ6:AJ23)</f>
        <v>1</v>
      </c>
      <c r="AK24" s="140">
        <f>SUM(AK6:AK23)</f>
        <v>1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</row>
    <row r="25" spans="1:89" ht="14" customHeight="1" thickBot="1">
      <c r="A25" s="9"/>
      <c r="B25" s="9"/>
      <c r="C25" s="9"/>
      <c r="D25" s="10"/>
      <c r="E25" s="11"/>
      <c r="F25" s="11"/>
      <c r="G25" s="11"/>
      <c r="H25" s="10"/>
      <c r="I25" s="234" t="s">
        <v>26</v>
      </c>
      <c r="J25" s="235">
        <f>(1+K107*H107-L24-L107)/(I24-L24-L107)</f>
        <v>-0.1839482923695327</v>
      </c>
      <c r="K25" s="14"/>
      <c r="L25" s="11"/>
      <c r="M25" s="30"/>
      <c r="N25" s="168">
        <f>-(M64*B63)</f>
        <v>4359.4993106713737</v>
      </c>
      <c r="O25" s="2"/>
      <c r="P25" s="2"/>
      <c r="Q25" s="141" t="s">
        <v>141</v>
      </c>
      <c r="R25" s="41">
        <f>IF($B$68=0,0,($B$57+$B$58+((1-$D$21)*$B$70))*$H$71*Poor!$B$68/$B$68)</f>
        <v>31956.58733381049</v>
      </c>
      <c r="S25" s="41">
        <f>IF($B$68=0,0,(($B$57*$H$57)+($B$58*$H$58)+((1-($D$21*$H$21))*$I$70))*Poor!$B$68/$B$68)</f>
        <v>31648.144463959969</v>
      </c>
      <c r="T25" s="41">
        <f>IF($B$68=0,0,(($B$57*$H$57)+($B$58*$H$58)+((1-($D$21*$H$21))*$I$70))*Poor!$B$68/$B$68)</f>
        <v>31648.144463959969</v>
      </c>
      <c r="U25" s="242">
        <f>T25/Poor!$B$68/12</f>
        <v>439.55756199944403</v>
      </c>
      <c r="W25" s="109"/>
      <c r="X25" s="117"/>
      <c r="Y25" s="109"/>
      <c r="Z25" s="142"/>
      <c r="AA25" s="143"/>
      <c r="AB25" s="142"/>
      <c r="AC25" s="143"/>
      <c r="AD25" s="142"/>
      <c r="AE25" s="143"/>
      <c r="AF25" s="142"/>
      <c r="AG25" s="143"/>
      <c r="AH25" s="109"/>
      <c r="AI25" s="109"/>
      <c r="AJ25" s="142"/>
      <c r="AK25" s="143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</row>
    <row r="26" spans="1:89" ht="15.75" customHeight="1">
      <c r="A26" s="15" t="s">
        <v>27</v>
      </c>
      <c r="B26" s="1"/>
      <c r="C26" s="1"/>
      <c r="D26" s="31"/>
      <c r="E26" s="32"/>
      <c r="F26" s="32"/>
      <c r="G26" s="32"/>
      <c r="H26" s="31"/>
      <c r="I26" s="2"/>
      <c r="J26" s="33"/>
      <c r="K26" s="34" t="s">
        <v>28</v>
      </c>
      <c r="L26" s="35"/>
      <c r="M26" s="36"/>
      <c r="N26" s="2"/>
      <c r="O26" s="2"/>
      <c r="P26" s="2"/>
      <c r="Q26" s="59" t="s">
        <v>142</v>
      </c>
      <c r="R26" s="41">
        <f>IF($B$68=0,0,($B$57+$B$58+$B$59+((1-$D$21)*$B$70))*$H$71*Poor!$B$68/$B$68)</f>
        <v>55602.772300932178</v>
      </c>
      <c r="S26" s="41">
        <f>IF($B$68=0,0,(($B$57*$H$57)+($B$58*$H$58)+($B$59*$H$59)+((1-($D$21*$H$21))*$I$70))*Poor!$B$68/$B$68)</f>
        <v>54745.024463959962</v>
      </c>
      <c r="T26" s="41">
        <f>IF($B$68=0,0,(($B$57*$H$57)+($B$58*$H$58)+($B$59*$H$59)+((1-($D$21*$H$21))*$I$70))*Poor!$B$68/$B$68)</f>
        <v>54745.024463959962</v>
      </c>
      <c r="U26" s="242">
        <f>T26/Poor!$B$68/12</f>
        <v>760.34756199944388</v>
      </c>
      <c r="W26" s="109"/>
      <c r="X26" s="117"/>
      <c r="Y26" s="109"/>
      <c r="Z26" s="144"/>
      <c r="AA26" s="145"/>
      <c r="AB26" s="144"/>
      <c r="AC26" s="145"/>
      <c r="AD26" s="144"/>
      <c r="AE26" s="145"/>
      <c r="AF26" s="144"/>
      <c r="AG26" s="145"/>
      <c r="AH26" s="109"/>
      <c r="AI26" s="109"/>
      <c r="AJ26" s="144"/>
      <c r="AK26" s="145"/>
      <c r="AP26" s="25"/>
      <c r="AQ26" s="25"/>
      <c r="AR26" s="25"/>
      <c r="AS26" s="25"/>
      <c r="AT26" s="25"/>
      <c r="AU26" s="25"/>
      <c r="AW26" s="25"/>
      <c r="AX26" s="25"/>
      <c r="AY26" s="25"/>
      <c r="AZ26" s="25"/>
      <c r="BA26" s="25"/>
      <c r="BB26" s="25"/>
      <c r="BF26" s="25"/>
      <c r="BG26" s="25"/>
      <c r="BH26" s="25"/>
      <c r="BI26" s="25"/>
      <c r="BJ26" s="25"/>
      <c r="BK26" s="25"/>
      <c r="BM26" s="25"/>
      <c r="BN26" s="25"/>
      <c r="BO26" s="25"/>
      <c r="BP26" s="25"/>
      <c r="BQ26" s="25"/>
      <c r="BR26" s="25"/>
      <c r="BU26" s="25"/>
      <c r="BV26" s="25"/>
      <c r="BW26" s="25"/>
      <c r="BX26" s="25"/>
      <c r="BY26" s="25"/>
      <c r="BZ26" s="25"/>
      <c r="CB26" s="25"/>
      <c r="CC26" s="25"/>
      <c r="CD26" s="25"/>
      <c r="CE26" s="25"/>
      <c r="CF26" s="25"/>
      <c r="CG26" s="25"/>
    </row>
    <row r="27" spans="1:89" ht="14" customHeight="1">
      <c r="A27" s="1"/>
      <c r="B27" s="1" t="s">
        <v>7</v>
      </c>
      <c r="C27" s="1" t="s">
        <v>8</v>
      </c>
      <c r="D27" s="16" t="s">
        <v>9</v>
      </c>
      <c r="E27" s="19" t="s">
        <v>10</v>
      </c>
      <c r="F27" s="2" t="s">
        <v>29</v>
      </c>
      <c r="G27" s="2" t="s">
        <v>30</v>
      </c>
      <c r="H27" s="16" t="s">
        <v>12</v>
      </c>
      <c r="I27" s="19" t="s">
        <v>13</v>
      </c>
      <c r="J27" s="16" t="s">
        <v>14</v>
      </c>
      <c r="K27" s="37" t="s">
        <v>7</v>
      </c>
      <c r="L27" s="19" t="s">
        <v>15</v>
      </c>
      <c r="M27" s="16" t="s">
        <v>14</v>
      </c>
      <c r="N27" s="2"/>
      <c r="O27" s="2"/>
      <c r="P27" s="2"/>
      <c r="Q27" s="125" t="s">
        <v>134</v>
      </c>
      <c r="R27" s="41">
        <f>IF($B$68=0,0,($B$57+$B$58+$B$59+$B$60+(1-$D$21-$D$20)*$B$70)*$H$71*Poor!$B$68/$B$68)</f>
        <v>58438.087155457783</v>
      </c>
      <c r="S27" s="41">
        <f>IF($B$68=0,0,(($B$57*$H$57)+($B$58*$H$58)+($B$59*$H$59)+($B$60*$H$60)+((1-($D$20*$H$20)-($D$21*$H$21))*$I$70))*Poor!$B$68/$B$68)</f>
        <v>57514.474463959959</v>
      </c>
      <c r="T27" s="41">
        <f>IF($B$68=0,0,(($B$57*$H$57)+($B$58*$H$58)+($B$59*$H$59)+($B$60*$H$60)+((1-($D$20*$H$20)-($D$21*$H$21))*$I$70))*Poor!$B$68/$B$68)</f>
        <v>57514.474463959959</v>
      </c>
      <c r="U27" s="243">
        <f>T27/Poor!$B$68/12</f>
        <v>798.81214533277716</v>
      </c>
      <c r="W27" s="109"/>
      <c r="X27" s="117"/>
      <c r="Y27" s="109"/>
      <c r="Z27" s="144"/>
      <c r="AA27" s="145"/>
      <c r="AB27" s="144"/>
      <c r="AC27" s="145"/>
      <c r="AD27" s="144"/>
      <c r="AE27" s="145"/>
      <c r="AF27" s="144"/>
      <c r="AG27" s="145"/>
      <c r="AH27" s="109"/>
      <c r="AI27" s="109"/>
      <c r="AJ27" s="144"/>
      <c r="AK27" s="145"/>
      <c r="AP27" s="25"/>
      <c r="AQ27" s="25"/>
      <c r="AR27" s="25"/>
      <c r="AS27" s="25"/>
      <c r="AT27" s="25"/>
      <c r="AU27" s="25"/>
      <c r="AW27" s="25"/>
      <c r="AX27" s="25"/>
      <c r="AY27" s="25"/>
      <c r="AZ27" s="25"/>
      <c r="BA27" s="25"/>
      <c r="BB27" s="25"/>
      <c r="BF27" s="25"/>
      <c r="BG27" s="25"/>
      <c r="BH27" s="25"/>
      <c r="BI27" s="25"/>
      <c r="BJ27" s="25"/>
      <c r="BK27" s="25"/>
      <c r="BM27" s="25"/>
      <c r="BN27" s="25"/>
      <c r="BO27" s="25"/>
      <c r="BP27" s="25"/>
      <c r="BQ27" s="25"/>
      <c r="BR27" s="25"/>
      <c r="BU27" s="25"/>
      <c r="BV27" s="25"/>
      <c r="BW27" s="25"/>
      <c r="BX27" s="25"/>
      <c r="BY27" s="25"/>
      <c r="BZ27" s="25"/>
      <c r="CB27" s="25"/>
      <c r="CC27" s="25"/>
      <c r="CD27" s="25"/>
      <c r="CE27" s="25"/>
      <c r="CF27" s="25"/>
      <c r="CG27" s="25"/>
    </row>
    <row r="28" spans="1:89" ht="14" customHeight="1">
      <c r="A28" s="1" t="s">
        <v>31</v>
      </c>
      <c r="B28" s="1" t="s">
        <v>16</v>
      </c>
      <c r="C28" s="1" t="s">
        <v>17</v>
      </c>
      <c r="D28" s="16" t="s">
        <v>16</v>
      </c>
      <c r="E28" s="19" t="s">
        <v>18</v>
      </c>
      <c r="F28" s="2" t="s">
        <v>32</v>
      </c>
      <c r="G28" s="2" t="s">
        <v>32</v>
      </c>
      <c r="H28" s="16" t="s">
        <v>18</v>
      </c>
      <c r="I28" s="19" t="s">
        <v>16</v>
      </c>
      <c r="J28" s="16" t="s">
        <v>16</v>
      </c>
      <c r="K28" s="37" t="s">
        <v>16</v>
      </c>
      <c r="L28" s="19" t="s">
        <v>20</v>
      </c>
      <c r="M28" s="16" t="s">
        <v>16</v>
      </c>
      <c r="N28" s="2"/>
      <c r="O28" s="2"/>
      <c r="P28" s="2"/>
      <c r="U28" s="56"/>
      <c r="V28" s="56"/>
      <c r="W28" s="109"/>
      <c r="X28" s="117"/>
      <c r="Y28" s="109"/>
      <c r="Z28" s="144"/>
      <c r="AA28" s="145"/>
      <c r="AB28" s="144"/>
      <c r="AC28" s="145"/>
      <c r="AD28" s="144"/>
      <c r="AE28" s="145"/>
      <c r="AF28" s="144"/>
      <c r="AG28" s="145"/>
      <c r="AH28" s="109"/>
      <c r="AI28" s="109"/>
      <c r="AJ28" s="144"/>
      <c r="AK28" s="145"/>
      <c r="AP28" s="25"/>
      <c r="AQ28" s="25"/>
      <c r="AR28" s="25"/>
      <c r="AS28" s="25"/>
      <c r="AT28" s="25"/>
      <c r="AU28" s="25"/>
      <c r="AW28" s="25"/>
      <c r="AX28" s="25"/>
      <c r="AY28" s="25"/>
      <c r="AZ28" s="25"/>
      <c r="BA28" s="25"/>
      <c r="BB28" s="25"/>
      <c r="BF28" s="25"/>
      <c r="BG28" s="25"/>
      <c r="BH28" s="25"/>
      <c r="BI28" s="25"/>
      <c r="BJ28" s="25"/>
      <c r="BK28" s="25"/>
      <c r="BM28" s="25"/>
      <c r="BN28" s="25"/>
      <c r="BO28" s="25"/>
      <c r="BP28" s="25"/>
      <c r="BQ28" s="25"/>
      <c r="BR28" s="25"/>
      <c r="BU28" s="25"/>
      <c r="BV28" s="25"/>
      <c r="BW28" s="25"/>
      <c r="BX28" s="25"/>
      <c r="BY28" s="25"/>
      <c r="BZ28" s="25"/>
      <c r="CB28" s="25"/>
      <c r="CC28" s="25"/>
      <c r="CD28" s="25"/>
      <c r="CE28" s="25"/>
      <c r="CF28" s="25"/>
      <c r="CG28" s="25"/>
    </row>
    <row r="29" spans="1:89" ht="14" customHeight="1">
      <c r="A29" s="85" t="str">
        <f>IF([1]Summ!$A1064="","",[1]Summ!$A1064)</f>
        <v>Pig sales: no sold</v>
      </c>
      <c r="B29" s="217">
        <f>IF([1]Summ!E1064="",0,[1]Summ!E1064)</f>
        <v>2600</v>
      </c>
      <c r="C29" s="217">
        <f>IF([1]Summ!F1064="",0,[1]Summ!F1064)</f>
        <v>0</v>
      </c>
      <c r="D29" s="38">
        <f>SUM(B29,C29)</f>
        <v>2600</v>
      </c>
      <c r="E29" s="26">
        <v>1</v>
      </c>
      <c r="F29" s="26">
        <v>1.03</v>
      </c>
      <c r="G29" s="29">
        <f>IF($B$69=0,0,$AH$69/$B$69)</f>
        <v>1.1200000000000001</v>
      </c>
      <c r="H29" s="24">
        <f t="shared" ref="H29:H51" si="17">(E29*F29)</f>
        <v>1.03</v>
      </c>
      <c r="I29" s="39">
        <f t="shared" ref="I29:I51" si="18">D29*H29</f>
        <v>2678</v>
      </c>
      <c r="J29" s="38">
        <f t="shared" ref="J29:J51" si="19">J78*I$70</f>
        <v>2678</v>
      </c>
      <c r="K29" s="40">
        <f t="shared" ref="K29:K51" si="20">(B29/B$52)</f>
        <v>5.833532305516697E-2</v>
      </c>
      <c r="L29" s="22">
        <f t="shared" ref="L29:L51" si="21">(K29*H29)</f>
        <v>6.0085382746821979E-2</v>
      </c>
      <c r="M29" s="24">
        <f t="shared" ref="M29:M51" si="22">J29/B$52</f>
        <v>6.0085382746821979E-2</v>
      </c>
      <c r="N29" s="2"/>
      <c r="O29" s="2"/>
      <c r="Q29" s="178"/>
      <c r="R29" s="180"/>
      <c r="S29" s="180"/>
      <c r="T29" s="180"/>
      <c r="U29" s="56"/>
      <c r="V29" s="56"/>
      <c r="W29" s="114"/>
      <c r="X29" s="117"/>
      <c r="Y29" s="109"/>
      <c r="Z29" s="121">
        <f>IF($J29=0,0,AA29/($J29))</f>
        <v>0</v>
      </c>
      <c r="AA29" s="146">
        <f>IF(SUM(AA$6:AA$21)+(SUM(AA$31:AA$51,-AA$57)/AA$70)&lt;1,IF(SUM(AA$6:AA$21)+(SUM(AA$31:AA$51,$J$29:$J$30,-AA$57)/AA$70)&lt;1,$J29,(AA$70-(SUM(AA$6:AA$21)*AA$70)-SUM(AA$31:AA$51,-AA$57))*($J29/SUM($J$29:$J$30))),0)</f>
        <v>0</v>
      </c>
      <c r="AB29" s="121">
        <f>IF($J29=0,0,AC29/($J29))</f>
        <v>0</v>
      </c>
      <c r="AC29" s="146">
        <f>IF(SUM(AC$6:AC$21)+(SUM(AC$31:AC$51,-AC$57)/AC$70)&lt;1,IF(SUM(AC$6:AC$21)+((SUM(AC$31:AC$51,$J$29:$J$30,-AC$57)-SUM($AA$29:$AA$30))/AC$70)&lt;1,$J29-$AA29,(AC$70-(SUM(AC$6:AC$21)*AC$70)-SUM(AC$31:AC$51,-AC$57))*($J29/SUM($J$29:$J$30))),0)</f>
        <v>0</v>
      </c>
      <c r="AD29" s="121">
        <f>IF($J29=0,0,AE29/($J29))</f>
        <v>0</v>
      </c>
      <c r="AE29" s="146">
        <f>IF(SUM(AE$6:AE$21)+(SUM(AE$31:AE$51,-AE$57)/AE$70)&lt;1,IF(SUM(AE$6:AE$21)+((SUM(AE$31:AE$51,$J$29:$J$30,-AE$57)-SUM($AA$29:$AA$30)-SUM($AC$29:$AC$30))/AE$70)&lt;1,$J29-$AA29-$AC29,(AE$70-(SUM(AE$6:AE$21)*AE$70)-SUM(AE$31:AE$51,-AE$57))*($J29/SUM($J$29:$J$30))),0)</f>
        <v>0</v>
      </c>
      <c r="AF29" s="121">
        <f t="shared" ref="AF29:AF51" si="23">1-SUM(Z29,AB29,AD29)</f>
        <v>1</v>
      </c>
      <c r="AG29" s="146">
        <f>$J29*AF29</f>
        <v>2678</v>
      </c>
      <c r="AH29" s="122">
        <f>SUM(Z29,AB29,AD29,AF29)</f>
        <v>1</v>
      </c>
      <c r="AI29" s="111">
        <f>SUM(AA29,AC29,AE29,AG29)</f>
        <v>2678</v>
      </c>
      <c r="AJ29" s="147">
        <f>(AA29+AC29)</f>
        <v>0</v>
      </c>
      <c r="AK29" s="146">
        <f>(AE29+AG29)</f>
        <v>2678</v>
      </c>
      <c r="AP29" s="25"/>
      <c r="AQ29" s="25"/>
      <c r="AR29" s="25"/>
      <c r="AS29" s="25"/>
      <c r="AT29" s="25"/>
      <c r="AU29" s="25"/>
      <c r="AW29" s="25"/>
      <c r="AX29" s="25"/>
      <c r="AY29" s="25"/>
      <c r="AZ29" s="25"/>
      <c r="BA29" s="25"/>
      <c r="BB29" s="25"/>
      <c r="BF29" s="25"/>
      <c r="BG29" s="25"/>
      <c r="BH29" s="25"/>
      <c r="BI29" s="25"/>
      <c r="BJ29" s="25"/>
      <c r="BK29" s="25"/>
      <c r="BM29" s="25"/>
      <c r="BN29" s="25"/>
      <c r="BO29" s="25"/>
      <c r="BP29" s="25"/>
      <c r="BQ29" s="25"/>
      <c r="BR29" s="25"/>
      <c r="BU29" s="25"/>
      <c r="BV29" s="25"/>
      <c r="BW29" s="25"/>
      <c r="BX29" s="25"/>
      <c r="BY29" s="25"/>
      <c r="BZ29" s="25"/>
      <c r="CB29" s="25"/>
      <c r="CC29" s="25"/>
      <c r="CD29" s="25"/>
      <c r="CE29" s="25"/>
      <c r="CF29" s="25"/>
      <c r="CG29" s="25"/>
    </row>
    <row r="30" spans="1:89" ht="14" customHeight="1">
      <c r="A30" s="85" t="str">
        <f>IF([1]Summ!$A1065="","",[1]Summ!$A1065)</f>
        <v>Cattle sales - local: no. sold</v>
      </c>
      <c r="B30" s="217">
        <f>IF([1]Summ!E1065="",0,[1]Summ!E1065)</f>
        <v>0</v>
      </c>
      <c r="C30" s="217">
        <f>IF([1]Summ!F1065="",0,[1]Summ!F1065)</f>
        <v>0</v>
      </c>
      <c r="D30" s="38">
        <f t="shared" ref="D30:D51" si="24">SUM(B30,C30)</f>
        <v>0</v>
      </c>
      <c r="E30" s="26">
        <v>1</v>
      </c>
      <c r="F30" s="26">
        <v>1.1100000000000001</v>
      </c>
      <c r="G30" s="22">
        <f t="shared" ref="G30:G51" si="25">(G$29)</f>
        <v>1.1200000000000001</v>
      </c>
      <c r="H30" s="24">
        <f t="shared" si="17"/>
        <v>1.1100000000000001</v>
      </c>
      <c r="I30" s="39">
        <f t="shared" si="18"/>
        <v>0</v>
      </c>
      <c r="J30" s="38">
        <f t="shared" si="19"/>
        <v>0</v>
      </c>
      <c r="K30" s="40">
        <f t="shared" si="20"/>
        <v>0</v>
      </c>
      <c r="L30" s="22">
        <f t="shared" si="21"/>
        <v>0</v>
      </c>
      <c r="M30" s="24">
        <f t="shared" si="22"/>
        <v>0</v>
      </c>
      <c r="N30" s="2"/>
      <c r="O30" s="2"/>
      <c r="P30" s="2"/>
      <c r="Q30" s="59"/>
      <c r="R30" s="180"/>
      <c r="S30" s="180"/>
      <c r="T30" s="180"/>
      <c r="U30" s="56"/>
      <c r="V30" s="56"/>
      <c r="W30" s="114"/>
      <c r="X30" s="117"/>
      <c r="Y30" s="109"/>
      <c r="Z30" s="121">
        <f>IF($J30=0,0,AA30/($J30))</f>
        <v>0</v>
      </c>
      <c r="AA30" s="146">
        <f>IF(SUM(AA$6:AA$21)+(SUM(AA$31:AA$51,-AA$57)/AA$70)&lt;1,IF(SUM(AA$6:AA$21)+(SUM(AA$31:AA$51,$J$29:$J$30,-AA$57)/AA$70)&lt;1,$J30,(AA$70-(SUM(AA$6:AA$21)*AA$70)-SUM(AA$31:AA$51,-AA$57))*($J30/SUM($J$29:$J$30))),0)</f>
        <v>0</v>
      </c>
      <c r="AB30" s="121">
        <f>IF($J30=0,0,AC30/($J30))</f>
        <v>0</v>
      </c>
      <c r="AC30" s="146">
        <f>IF(SUM(AC$6:AC$21)+(SUM(AC$32:AC$51,-AC$57)/AC$70)&lt;1,IF(SUM(AC$6:AC$21)+((SUM(AC$32:AC$51,$J$29:$J$33,-AC$57)-SUM($AA$29:$AA$31))/AC$70)&lt;1,$J30-$AA30,(AC$70-(SUM(AC$6:AC$21)*AC$70)-SUM(AC$32:AC$51,-AC$57))*($J30/SUM($J$29:$J$33))),0)</f>
        <v>0</v>
      </c>
      <c r="AD30" s="121">
        <f>IF($J30=0,0,AE30/($J30))</f>
        <v>0</v>
      </c>
      <c r="AE30" s="146">
        <f>IF(SUM(AE$6:AE$21)+(SUM(AE$32:AE$51,-AE$57)/AE$70)&lt;1,IF(SUM(AE$6:AE$21)+((SUM(AE$32:AE$51,$J$29:$J$33,-AE$57)-SUM($AA$29:$AA$31)-SUM($AC$29:$AC$31))/AE$70)&lt;1,$J30-$AA30-$AC30,(AE$70-(SUM(AE$6:AE$21)*AE$70)-SUM(AE$32:AE$51,-AE$57))*($J30/SUM($J$29:$J$33))),0)</f>
        <v>0</v>
      </c>
      <c r="AF30" s="121">
        <f t="shared" si="23"/>
        <v>1</v>
      </c>
      <c r="AG30" s="146">
        <f t="shared" ref="AG30:AG51" si="26">$J30*AF30</f>
        <v>0</v>
      </c>
      <c r="AH30" s="122">
        <f t="shared" ref="AH30:AI45" si="27">SUM(Z30,AB30,AD30,AF30)</f>
        <v>1</v>
      </c>
      <c r="AI30" s="111">
        <f t="shared" si="27"/>
        <v>0</v>
      </c>
      <c r="AJ30" s="147">
        <f t="shared" ref="AJ30:AJ51" si="28">(AA30+AC30)</f>
        <v>0</v>
      </c>
      <c r="AK30" s="146">
        <f t="shared" ref="AK30:AK51" si="29">(AE30+AG30)</f>
        <v>0</v>
      </c>
      <c r="AP30" s="25"/>
      <c r="AQ30" s="25"/>
      <c r="AR30" s="25"/>
      <c r="AS30" s="25"/>
      <c r="AT30" s="25"/>
      <c r="AU30" s="25"/>
      <c r="AW30" s="25"/>
      <c r="AX30" s="25"/>
      <c r="AY30" s="25"/>
      <c r="AZ30" s="25"/>
      <c r="BA30" s="25"/>
      <c r="BB30" s="25"/>
      <c r="BF30" s="25"/>
      <c r="BG30" s="25"/>
      <c r="BH30" s="25"/>
      <c r="BI30" s="25"/>
      <c r="BJ30" s="25"/>
      <c r="BK30" s="25"/>
      <c r="BM30" s="25"/>
      <c r="BN30" s="25"/>
      <c r="BO30" s="25"/>
      <c r="BP30" s="25"/>
      <c r="BQ30" s="25"/>
      <c r="BR30" s="25"/>
      <c r="BU30" s="25"/>
      <c r="BV30" s="25"/>
      <c r="BW30" s="25"/>
      <c r="BX30" s="25"/>
      <c r="BY30" s="25"/>
      <c r="BZ30" s="25"/>
      <c r="CB30" s="25"/>
      <c r="CC30" s="25"/>
      <c r="CD30" s="25"/>
      <c r="CE30" s="25"/>
      <c r="CF30" s="25"/>
      <c r="CG30" s="25"/>
    </row>
    <row r="31" spans="1:89" ht="14" customHeight="1">
      <c r="A31" s="85" t="str">
        <f>IF([1]Summ!$A1066="","",[1]Summ!$A1066)</f>
        <v>Goat sales - local: no. sold</v>
      </c>
      <c r="B31" s="217">
        <f>IF([1]Summ!E1066="",0,[1]Summ!E1066)</f>
        <v>0</v>
      </c>
      <c r="C31" s="217">
        <f>IF([1]Summ!F1066="",0,[1]Summ!F1066)</f>
        <v>0</v>
      </c>
      <c r="D31" s="38">
        <f t="shared" si="24"/>
        <v>0</v>
      </c>
      <c r="E31" s="26">
        <v>1</v>
      </c>
      <c r="F31" s="26">
        <v>1.0900000000000001</v>
      </c>
      <c r="G31" s="22">
        <f t="shared" si="25"/>
        <v>1.1200000000000001</v>
      </c>
      <c r="H31" s="24">
        <f t="shared" si="17"/>
        <v>1.0900000000000001</v>
      </c>
      <c r="I31" s="39">
        <f t="shared" si="18"/>
        <v>0</v>
      </c>
      <c r="J31" s="38">
        <f t="shared" si="19"/>
        <v>0</v>
      </c>
      <c r="K31" s="40">
        <f t="shared" si="20"/>
        <v>0</v>
      </c>
      <c r="L31" s="22">
        <f t="shared" si="21"/>
        <v>0</v>
      </c>
      <c r="M31" s="24">
        <f t="shared" si="22"/>
        <v>0</v>
      </c>
      <c r="N31" s="2"/>
      <c r="O31" s="2"/>
      <c r="P31" s="2"/>
      <c r="Q31" s="2"/>
      <c r="R31" s="180"/>
      <c r="S31" s="180"/>
      <c r="T31" s="180"/>
      <c r="U31" s="56"/>
      <c r="V31" s="56"/>
      <c r="W31" s="114"/>
      <c r="X31" s="117">
        <v>1</v>
      </c>
      <c r="Y31" s="109"/>
      <c r="Z31" s="121">
        <f>Z8</f>
        <v>0.29794196925528332</v>
      </c>
      <c r="AA31" s="146">
        <f t="shared" ref="AA31:AA51" si="30">$J31*Z31</f>
        <v>0</v>
      </c>
      <c r="AB31" s="121">
        <f>AB8</f>
        <v>0.29794196925528332</v>
      </c>
      <c r="AC31" s="146">
        <f t="shared" ref="AC31:AC51" si="31">$J31*AB31</f>
        <v>0</v>
      </c>
      <c r="AD31" s="121">
        <f>AD8</f>
        <v>0.29794196925528332</v>
      </c>
      <c r="AE31" s="146">
        <f t="shared" ref="AE31:AE51" si="32">$J31*AD31</f>
        <v>0</v>
      </c>
      <c r="AF31" s="121">
        <f t="shared" si="23"/>
        <v>0.10617409223415009</v>
      </c>
      <c r="AG31" s="146">
        <f t="shared" si="26"/>
        <v>0</v>
      </c>
      <c r="AH31" s="122">
        <f t="shared" si="27"/>
        <v>1</v>
      </c>
      <c r="AI31" s="111">
        <f t="shared" si="27"/>
        <v>0</v>
      </c>
      <c r="AJ31" s="147">
        <f t="shared" si="28"/>
        <v>0</v>
      </c>
      <c r="AK31" s="146">
        <f t="shared" si="29"/>
        <v>0</v>
      </c>
      <c r="AP31" s="25"/>
      <c r="AQ31" s="25"/>
      <c r="AR31" s="25"/>
      <c r="AS31" s="25"/>
      <c r="AT31" s="25"/>
      <c r="AU31" s="25"/>
      <c r="AW31" s="25"/>
      <c r="AX31" s="25"/>
      <c r="AY31" s="25"/>
      <c r="AZ31" s="25"/>
      <c r="BA31" s="25"/>
      <c r="BB31" s="25"/>
      <c r="BF31" s="25"/>
      <c r="BG31" s="25"/>
      <c r="BH31" s="25"/>
      <c r="BI31" s="25"/>
      <c r="BJ31" s="25"/>
      <c r="BK31" s="25"/>
      <c r="BM31" s="25"/>
      <c r="BN31" s="25"/>
      <c r="BO31" s="25"/>
      <c r="BP31" s="25"/>
      <c r="BQ31" s="25"/>
      <c r="BR31" s="25"/>
      <c r="BU31" s="25"/>
      <c r="BV31" s="25"/>
      <c r="BW31" s="25"/>
      <c r="BX31" s="25"/>
      <c r="BY31" s="25"/>
      <c r="BZ31" s="25"/>
      <c r="CB31" s="25"/>
      <c r="CC31" s="25"/>
      <c r="CD31" s="25"/>
      <c r="CE31" s="25"/>
      <c r="CF31" s="25"/>
      <c r="CG31" s="25"/>
    </row>
    <row r="32" spans="1:89" ht="14" customHeight="1">
      <c r="A32" s="85" t="str">
        <f>IF([1]Summ!$A1067="","",[1]Summ!$A1067)</f>
        <v>Sheep sales - local: no. sold</v>
      </c>
      <c r="B32" s="217">
        <f>IF([1]Summ!E1067="",0,[1]Summ!E1067)</f>
        <v>0</v>
      </c>
      <c r="C32" s="217">
        <f>IF([1]Summ!F1067="",0,[1]Summ!F1067)</f>
        <v>0</v>
      </c>
      <c r="D32" s="38">
        <f t="shared" si="24"/>
        <v>0</v>
      </c>
      <c r="E32" s="26">
        <v>1</v>
      </c>
      <c r="F32" s="26">
        <v>1.0900000000000001</v>
      </c>
      <c r="G32" s="22">
        <f t="shared" si="25"/>
        <v>1.1200000000000001</v>
      </c>
      <c r="H32" s="24">
        <f t="shared" si="17"/>
        <v>1.0900000000000001</v>
      </c>
      <c r="I32" s="39">
        <f t="shared" si="18"/>
        <v>0</v>
      </c>
      <c r="J32" s="38">
        <f t="shared" si="19"/>
        <v>0</v>
      </c>
      <c r="K32" s="40">
        <f t="shared" si="20"/>
        <v>0</v>
      </c>
      <c r="L32" s="22">
        <f t="shared" si="21"/>
        <v>0</v>
      </c>
      <c r="M32" s="24">
        <f t="shared" si="22"/>
        <v>0</v>
      </c>
      <c r="N32" s="2"/>
      <c r="O32" s="2"/>
      <c r="P32" s="2"/>
      <c r="Q32" s="59" t="s">
        <v>145</v>
      </c>
      <c r="R32" s="180">
        <f>$B$57+((1-$D$21)*$B$70)</f>
        <v>16436.928182135824</v>
      </c>
      <c r="S32" s="180">
        <f>($B$57*$H$57)+((1-($D$21*$H$21))*$I$70)</f>
        <v>18678.904463959963</v>
      </c>
      <c r="T32" s="180">
        <f>($B$57*$H$57)+((1-($D$21*$H$21))*$I$70)</f>
        <v>18678.904463959963</v>
      </c>
      <c r="U32" s="56"/>
      <c r="V32" s="56"/>
      <c r="W32" s="114"/>
      <c r="X32" s="117">
        <v>1</v>
      </c>
      <c r="Y32" s="109"/>
      <c r="Z32" s="121">
        <f>Z9</f>
        <v>0.29794196925528332</v>
      </c>
      <c r="AA32" s="146">
        <f t="shared" si="30"/>
        <v>0</v>
      </c>
      <c r="AB32" s="121">
        <f>AB9</f>
        <v>0.29794196925528332</v>
      </c>
      <c r="AC32" s="146">
        <f t="shared" si="31"/>
        <v>0</v>
      </c>
      <c r="AD32" s="121">
        <f>AD9</f>
        <v>0.29794196925528332</v>
      </c>
      <c r="AE32" s="146">
        <f t="shared" si="32"/>
        <v>0</v>
      </c>
      <c r="AF32" s="121">
        <f t="shared" si="23"/>
        <v>0.10617409223415009</v>
      </c>
      <c r="AG32" s="146">
        <f t="shared" si="26"/>
        <v>0</v>
      </c>
      <c r="AH32" s="122">
        <f t="shared" si="27"/>
        <v>1</v>
      </c>
      <c r="AI32" s="111">
        <f t="shared" si="27"/>
        <v>0</v>
      </c>
      <c r="AJ32" s="147">
        <f t="shared" si="28"/>
        <v>0</v>
      </c>
      <c r="AK32" s="146">
        <f t="shared" si="29"/>
        <v>0</v>
      </c>
      <c r="AP32" s="25"/>
      <c r="AQ32" s="25"/>
      <c r="AR32" s="25"/>
      <c r="AS32" s="25"/>
      <c r="AT32" s="25"/>
      <c r="AU32" s="25"/>
      <c r="AW32" s="25"/>
      <c r="AX32" s="25"/>
      <c r="AY32" s="25"/>
      <c r="AZ32" s="25"/>
      <c r="BA32" s="25"/>
      <c r="BB32" s="25"/>
      <c r="BF32" s="25"/>
      <c r="BG32" s="25"/>
      <c r="BH32" s="25"/>
      <c r="BI32" s="25"/>
      <c r="BJ32" s="25"/>
      <c r="BK32" s="25"/>
      <c r="BM32" s="25"/>
      <c r="BN32" s="25"/>
      <c r="BO32" s="25"/>
      <c r="BP32" s="25"/>
      <c r="BQ32" s="25"/>
      <c r="BR32" s="25"/>
      <c r="BU32" s="25"/>
      <c r="BV32" s="25"/>
      <c r="BW32" s="25"/>
      <c r="BX32" s="25"/>
      <c r="BY32" s="25"/>
      <c r="BZ32" s="25"/>
      <c r="CB32" s="25"/>
      <c r="CC32" s="25"/>
      <c r="CD32" s="25"/>
      <c r="CE32" s="25"/>
      <c r="CF32" s="25"/>
      <c r="CG32" s="25"/>
    </row>
    <row r="33" spans="1:85" ht="14" customHeight="1">
      <c r="A33" s="85" t="str">
        <f>IF([1]Summ!$A1068="","",[1]Summ!$A1068)</f>
        <v>Chicken sales: no. sold</v>
      </c>
      <c r="B33" s="217">
        <f>IF([1]Summ!E1068="",0,[1]Summ!E1068)</f>
        <v>198</v>
      </c>
      <c r="C33" s="217">
        <f>IF([1]Summ!F1068="",0,[1]Summ!F1068)</f>
        <v>0</v>
      </c>
      <c r="D33" s="38">
        <f t="shared" si="24"/>
        <v>198</v>
      </c>
      <c r="E33" s="26">
        <v>1</v>
      </c>
      <c r="F33" s="26">
        <v>1.0900000000000001</v>
      </c>
      <c r="G33" s="22">
        <f t="shared" si="25"/>
        <v>1.1200000000000001</v>
      </c>
      <c r="H33" s="24">
        <f t="shared" si="17"/>
        <v>1.0900000000000001</v>
      </c>
      <c r="I33" s="39">
        <f t="shared" si="18"/>
        <v>215.82000000000002</v>
      </c>
      <c r="J33" s="38">
        <f t="shared" si="19"/>
        <v>215.82000000000002</v>
      </c>
      <c r="K33" s="40">
        <f t="shared" si="20"/>
        <v>4.4424592172781002E-3</v>
      </c>
      <c r="L33" s="22">
        <f t="shared" si="21"/>
        <v>4.8422805468331291E-3</v>
      </c>
      <c r="M33" s="24">
        <f t="shared" si="22"/>
        <v>4.8422805468331291E-3</v>
      </c>
      <c r="N33" s="2"/>
      <c r="O33" s="2"/>
      <c r="P33" s="2"/>
      <c r="Q33" s="59" t="s">
        <v>146</v>
      </c>
      <c r="R33" s="180">
        <f>$B$57+$B$58+((1-$D$21)*$B$70)</f>
        <v>28120.928182135824</v>
      </c>
      <c r="S33" s="41">
        <f>(($B$57*$H$57)+($B$58*$H$58)+((1-($D$21*$H$21))*$I$70))</f>
        <v>31648.144463959969</v>
      </c>
      <c r="T33" s="41">
        <f>(($B$57*$H$57)+($B$58*$H$58)+((1-($D$21*$H$21))*$I$70))</f>
        <v>31648.144463959969</v>
      </c>
      <c r="U33" s="56"/>
      <c r="V33" s="56"/>
      <c r="W33" s="114"/>
      <c r="X33" s="117">
        <v>1</v>
      </c>
      <c r="Y33" s="109"/>
      <c r="Z33" s="121">
        <f>Z11</f>
        <v>0.29794196925528332</v>
      </c>
      <c r="AA33" s="146">
        <f t="shared" si="30"/>
        <v>64.30183580467525</v>
      </c>
      <c r="AB33" s="121">
        <f>AB11</f>
        <v>0.29794196925528332</v>
      </c>
      <c r="AC33" s="146">
        <f t="shared" si="31"/>
        <v>64.30183580467525</v>
      </c>
      <c r="AD33" s="121">
        <f>AD11</f>
        <v>0.29794196925528332</v>
      </c>
      <c r="AE33" s="146">
        <f t="shared" si="32"/>
        <v>64.30183580467525</v>
      </c>
      <c r="AF33" s="121">
        <f t="shared" si="23"/>
        <v>0.10617409223415009</v>
      </c>
      <c r="AG33" s="146">
        <f t="shared" si="26"/>
        <v>22.914492585974273</v>
      </c>
      <c r="AH33" s="122">
        <f t="shared" si="27"/>
        <v>1</v>
      </c>
      <c r="AI33" s="111">
        <f t="shared" si="27"/>
        <v>215.82000000000002</v>
      </c>
      <c r="AJ33" s="147">
        <f t="shared" si="28"/>
        <v>128.6036716093505</v>
      </c>
      <c r="AK33" s="146">
        <f t="shared" si="29"/>
        <v>87.216328390649522</v>
      </c>
      <c r="AP33" s="25"/>
      <c r="AQ33" s="25"/>
      <c r="AR33" s="25"/>
      <c r="AS33" s="25"/>
      <c r="AT33" s="25"/>
      <c r="AU33" s="25"/>
      <c r="AW33" s="25"/>
      <c r="AX33" s="25"/>
      <c r="AY33" s="25"/>
      <c r="AZ33" s="25"/>
      <c r="BA33" s="25"/>
      <c r="BB33" s="25"/>
      <c r="BF33" s="25"/>
      <c r="BG33" s="25"/>
      <c r="BH33" s="25"/>
      <c r="BI33" s="25"/>
      <c r="BJ33" s="25"/>
      <c r="BK33" s="25"/>
      <c r="BM33" s="25"/>
      <c r="BN33" s="25"/>
      <c r="BO33" s="25"/>
      <c r="BP33" s="25"/>
      <c r="BQ33" s="25"/>
      <c r="BR33" s="25"/>
      <c r="BU33" s="25"/>
      <c r="BV33" s="25"/>
      <c r="BW33" s="25"/>
      <c r="BX33" s="25"/>
      <c r="BY33" s="25"/>
      <c r="BZ33" s="25"/>
      <c r="CB33" s="25"/>
      <c r="CC33" s="25"/>
      <c r="CD33" s="25"/>
      <c r="CE33" s="25"/>
      <c r="CF33" s="25"/>
      <c r="CG33" s="25"/>
    </row>
    <row r="34" spans="1:85" ht="14" customHeight="1">
      <c r="A34" s="85" t="str">
        <f>IF([1]Summ!$A1069="","",[1]Summ!$A1069)</f>
        <v>Maize: kg produced</v>
      </c>
      <c r="B34" s="217">
        <f>IF([1]Summ!E1069="",0,[1]Summ!E1069)</f>
        <v>0</v>
      </c>
      <c r="C34" s="217">
        <f>IF([1]Summ!F1069="",0,[1]Summ!F1069)</f>
        <v>0</v>
      </c>
      <c r="D34" s="38">
        <f t="shared" si="24"/>
        <v>0</v>
      </c>
      <c r="E34" s="75">
        <f>E9</f>
        <v>1</v>
      </c>
      <c r="F34" s="26">
        <v>1.02</v>
      </c>
      <c r="G34" s="22">
        <f t="shared" si="25"/>
        <v>1.1200000000000001</v>
      </c>
      <c r="H34" s="24">
        <f t="shared" si="17"/>
        <v>1.02</v>
      </c>
      <c r="I34" s="39">
        <f t="shared" si="18"/>
        <v>0</v>
      </c>
      <c r="J34" s="38">
        <f t="shared" si="19"/>
        <v>0</v>
      </c>
      <c r="K34" s="40">
        <f t="shared" si="20"/>
        <v>0</v>
      </c>
      <c r="L34" s="22">
        <f t="shared" si="21"/>
        <v>0</v>
      </c>
      <c r="M34" s="24">
        <f t="shared" si="22"/>
        <v>0</v>
      </c>
      <c r="N34" s="2"/>
      <c r="O34" s="2"/>
      <c r="P34" s="2"/>
      <c r="Q34" s="59" t="s">
        <v>147</v>
      </c>
      <c r="R34" s="180">
        <f>$B$57+$B$58+$B$59+((1-$D$21)*$B$70)</f>
        <v>48928.928182135824</v>
      </c>
      <c r="S34" s="41">
        <f>(($B$57*$H$57)+($B$58*$H$58)+($B$59*$H$59)+((1-($D$21*$H$21))*$I$70))</f>
        <v>54745.024463959962</v>
      </c>
      <c r="T34" s="41">
        <f>(($B$57*$H$57)+($B$58*$H$58)+($B$59*$H$59)+((1-($D$21*$H$21))*$I$70))</f>
        <v>54745.024463959962</v>
      </c>
      <c r="U34" s="56"/>
      <c r="V34" s="56"/>
      <c r="W34" s="114"/>
      <c r="X34" s="117"/>
      <c r="Y34" s="109"/>
      <c r="Z34" s="115">
        <v>0.25</v>
      </c>
      <c r="AA34" s="146">
        <f t="shared" si="30"/>
        <v>0</v>
      </c>
      <c r="AB34" s="115">
        <v>0</v>
      </c>
      <c r="AC34" s="146">
        <f t="shared" si="31"/>
        <v>0</v>
      </c>
      <c r="AD34" s="115">
        <v>0.5</v>
      </c>
      <c r="AE34" s="146">
        <f t="shared" si="32"/>
        <v>0</v>
      </c>
      <c r="AF34" s="121">
        <f t="shared" si="23"/>
        <v>0.25</v>
      </c>
      <c r="AG34" s="146">
        <f t="shared" si="26"/>
        <v>0</v>
      </c>
      <c r="AH34" s="122">
        <f t="shared" si="27"/>
        <v>1</v>
      </c>
      <c r="AI34" s="111">
        <f t="shared" si="27"/>
        <v>0</v>
      </c>
      <c r="AJ34" s="147">
        <f t="shared" si="28"/>
        <v>0</v>
      </c>
      <c r="AK34" s="146">
        <f t="shared" si="29"/>
        <v>0</v>
      </c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5" ht="14" customHeight="1">
      <c r="A35" s="85" t="str">
        <f>IF([1]Summ!$A1070="","",[1]Summ!$A1070)</f>
        <v>Cowpeas: kg produced</v>
      </c>
      <c r="B35" s="217">
        <f>IF([1]Summ!E1070="",0,[1]Summ!E1070)</f>
        <v>0</v>
      </c>
      <c r="C35" s="217">
        <f>IF([1]Summ!F1070="",0,[1]Summ!F1070)</f>
        <v>0</v>
      </c>
      <c r="D35" s="38">
        <f t="shared" si="24"/>
        <v>0</v>
      </c>
      <c r="E35" s="75">
        <f>E10</f>
        <v>1</v>
      </c>
      <c r="F35" s="26">
        <v>1</v>
      </c>
      <c r="G35" s="22">
        <f t="shared" si="25"/>
        <v>1.1200000000000001</v>
      </c>
      <c r="H35" s="24">
        <f t="shared" si="17"/>
        <v>1</v>
      </c>
      <c r="I35" s="39">
        <f t="shared" si="18"/>
        <v>0</v>
      </c>
      <c r="J35" s="38">
        <f t="shared" si="19"/>
        <v>0</v>
      </c>
      <c r="K35" s="40">
        <f t="shared" si="20"/>
        <v>0</v>
      </c>
      <c r="L35" s="22">
        <f t="shared" si="21"/>
        <v>0</v>
      </c>
      <c r="M35" s="24">
        <f t="shared" si="22"/>
        <v>0</v>
      </c>
      <c r="N35" s="2"/>
      <c r="O35" s="2"/>
      <c r="P35" s="2"/>
      <c r="Q35" s="59" t="s">
        <v>148</v>
      </c>
      <c r="R35" s="180">
        <f>$B$57+$B$58+$B$59+$B$60+((1-$D$20-$D$21)*$B$70)</f>
        <v>51423.928182135824</v>
      </c>
      <c r="S35" s="41">
        <f>(($B$57*$H$57)+($B$58*$H$58)+($B$59*$H$59)+($B$60*$H$60)+((1-($D$20*$H$20)-($D$21*$H$21))*$I$70))</f>
        <v>57514.474463959959</v>
      </c>
      <c r="T35" s="41">
        <f>(($B$57*$H$57)+($B$58*$H$58)+($B$59*$H$59)+($B$60*$H$60)+((1-($D$20*$H$20)-($D$21*$H$21))*$I$70))</f>
        <v>57514.474463959959</v>
      </c>
      <c r="U35" s="56"/>
      <c r="V35" s="56"/>
      <c r="W35" s="114"/>
      <c r="X35" s="117"/>
      <c r="Y35" s="109"/>
      <c r="Z35" s="115">
        <v>0.25</v>
      </c>
      <c r="AA35" s="146">
        <f t="shared" si="30"/>
        <v>0</v>
      </c>
      <c r="AB35" s="115">
        <v>0.25</v>
      </c>
      <c r="AC35" s="146">
        <f t="shared" si="31"/>
        <v>0</v>
      </c>
      <c r="AD35" s="115">
        <v>0.25</v>
      </c>
      <c r="AE35" s="146">
        <f t="shared" si="32"/>
        <v>0</v>
      </c>
      <c r="AF35" s="121">
        <f t="shared" si="23"/>
        <v>0.25</v>
      </c>
      <c r="AG35" s="146">
        <f t="shared" si="26"/>
        <v>0</v>
      </c>
      <c r="AH35" s="122">
        <f t="shared" si="27"/>
        <v>1</v>
      </c>
      <c r="AI35" s="111">
        <f t="shared" si="27"/>
        <v>0</v>
      </c>
      <c r="AJ35" s="147">
        <f t="shared" si="28"/>
        <v>0</v>
      </c>
      <c r="AK35" s="146">
        <f t="shared" si="29"/>
        <v>0</v>
      </c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5" ht="14" customHeight="1">
      <c r="A36" s="85" t="str">
        <f>IF([1]Summ!$A1071="","",[1]Summ!$A1071)</f>
        <v>Pumpkin: kg produce</v>
      </c>
      <c r="B36" s="217">
        <f>IF([1]Summ!E1071="",0,[1]Summ!E1071)</f>
        <v>0</v>
      </c>
      <c r="C36" s="217">
        <f>IF([1]Summ!F1071="",0,[1]Summ!F1071)</f>
        <v>0</v>
      </c>
      <c r="D36" s="38">
        <f t="shared" si="24"/>
        <v>0</v>
      </c>
      <c r="E36" s="75">
        <f>E12</f>
        <v>1</v>
      </c>
      <c r="F36" s="26">
        <v>1.1000000000000001</v>
      </c>
      <c r="G36" s="22">
        <f t="shared" si="25"/>
        <v>1.1200000000000001</v>
      </c>
      <c r="H36" s="24">
        <f t="shared" si="17"/>
        <v>1.1000000000000001</v>
      </c>
      <c r="I36" s="39">
        <f t="shared" si="18"/>
        <v>0</v>
      </c>
      <c r="J36" s="38">
        <f t="shared" si="19"/>
        <v>0</v>
      </c>
      <c r="K36" s="40">
        <f t="shared" si="20"/>
        <v>0</v>
      </c>
      <c r="L36" s="22">
        <f t="shared" si="21"/>
        <v>0</v>
      </c>
      <c r="M36" s="24">
        <f t="shared" si="22"/>
        <v>0</v>
      </c>
      <c r="N36" s="2"/>
      <c r="O36" s="2"/>
      <c r="P36" s="2"/>
      <c r="Q36" s="59"/>
      <c r="R36" s="223"/>
      <c r="S36" s="223"/>
      <c r="T36" s="223"/>
      <c r="U36" s="56"/>
      <c r="V36" s="56"/>
      <c r="W36" s="116"/>
      <c r="X36" s="117"/>
      <c r="Y36" s="109"/>
      <c r="Z36" s="115">
        <v>0.25</v>
      </c>
      <c r="AA36" s="146">
        <f t="shared" si="30"/>
        <v>0</v>
      </c>
      <c r="AB36" s="115">
        <v>0.25</v>
      </c>
      <c r="AC36" s="146">
        <f t="shared" si="31"/>
        <v>0</v>
      </c>
      <c r="AD36" s="115">
        <v>0.25</v>
      </c>
      <c r="AE36" s="146">
        <f t="shared" si="32"/>
        <v>0</v>
      </c>
      <c r="AF36" s="121">
        <f t="shared" si="23"/>
        <v>0.25</v>
      </c>
      <c r="AG36" s="146">
        <f t="shared" si="26"/>
        <v>0</v>
      </c>
      <c r="AH36" s="122">
        <f t="shared" si="27"/>
        <v>1</v>
      </c>
      <c r="AI36" s="111">
        <f t="shared" si="27"/>
        <v>0</v>
      </c>
      <c r="AJ36" s="147">
        <f t="shared" si="28"/>
        <v>0</v>
      </c>
      <c r="AK36" s="146">
        <f t="shared" si="29"/>
        <v>0</v>
      </c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5" ht="14" customHeight="1">
      <c r="A37" s="85" t="str">
        <f>IF([1]Summ!$A1072="","",[1]Summ!$A1072)</f>
        <v>Cabbage: number produced</v>
      </c>
      <c r="B37" s="217">
        <f>IF([1]Summ!E1072="",0,[1]Summ!E1072)</f>
        <v>0</v>
      </c>
      <c r="C37" s="217">
        <f>IF([1]Summ!F1072="",0,[1]Summ!F1072)</f>
        <v>0</v>
      </c>
      <c r="D37" s="38">
        <f t="shared" si="24"/>
        <v>0</v>
      </c>
      <c r="E37" s="26">
        <v>1</v>
      </c>
      <c r="F37" s="26">
        <v>1.08</v>
      </c>
      <c r="G37" s="22">
        <f t="shared" si="25"/>
        <v>1.1200000000000001</v>
      </c>
      <c r="H37" s="24">
        <f t="shared" si="17"/>
        <v>1.08</v>
      </c>
      <c r="I37" s="39">
        <f t="shared" si="18"/>
        <v>0</v>
      </c>
      <c r="J37" s="38">
        <f t="shared" si="19"/>
        <v>0</v>
      </c>
      <c r="K37" s="40">
        <f t="shared" si="20"/>
        <v>0</v>
      </c>
      <c r="L37" s="22">
        <f t="shared" si="21"/>
        <v>0</v>
      </c>
      <c r="M37" s="24">
        <f t="shared" si="22"/>
        <v>0</v>
      </c>
      <c r="N37" s="2"/>
      <c r="O37" s="2"/>
      <c r="P37" s="2"/>
      <c r="Q37" s="244" t="s">
        <v>149</v>
      </c>
      <c r="R37" s="244">
        <f>IF(R24&gt;R$23,R24-R$23,0)</f>
        <v>0</v>
      </c>
      <c r="S37" s="244">
        <f t="shared" ref="S37:T40" si="33">IF(S24&gt;S$23,S24-S$23,0)</f>
        <v>0</v>
      </c>
      <c r="T37" s="244">
        <f t="shared" si="33"/>
        <v>0</v>
      </c>
      <c r="U37" s="56"/>
      <c r="V37" s="56"/>
      <c r="W37" s="109"/>
      <c r="X37" s="117"/>
      <c r="Y37" s="109"/>
      <c r="Z37" s="115">
        <v>0.25</v>
      </c>
      <c r="AA37" s="146">
        <f t="shared" si="30"/>
        <v>0</v>
      </c>
      <c r="AB37" s="115">
        <v>0.25</v>
      </c>
      <c r="AC37" s="146">
        <f t="shared" si="31"/>
        <v>0</v>
      </c>
      <c r="AD37" s="115">
        <v>0.25</v>
      </c>
      <c r="AE37" s="146">
        <f t="shared" si="32"/>
        <v>0</v>
      </c>
      <c r="AF37" s="121">
        <f t="shared" si="23"/>
        <v>0.25</v>
      </c>
      <c r="AG37" s="146">
        <f t="shared" si="26"/>
        <v>0</v>
      </c>
      <c r="AH37" s="122">
        <f t="shared" si="27"/>
        <v>1</v>
      </c>
      <c r="AI37" s="111">
        <f t="shared" si="27"/>
        <v>0</v>
      </c>
      <c r="AJ37" s="147">
        <f t="shared" si="28"/>
        <v>0</v>
      </c>
      <c r="AK37" s="146">
        <f t="shared" si="29"/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5" ht="14" customHeight="1">
      <c r="A38" s="85" t="str">
        <f>IF([1]Summ!$A1073="","",[1]Summ!$A1073)</f>
        <v>Tomato: kg produced</v>
      </c>
      <c r="B38" s="217">
        <f>IF([1]Summ!E1073="",0,[1]Summ!E1073)</f>
        <v>0</v>
      </c>
      <c r="C38" s="217">
        <f>IF([1]Summ!F1073="",0,[1]Summ!F1073)</f>
        <v>0</v>
      </c>
      <c r="D38" s="38">
        <f t="shared" si="24"/>
        <v>0</v>
      </c>
      <c r="E38" s="26">
        <v>1</v>
      </c>
      <c r="F38" s="26">
        <v>0.94</v>
      </c>
      <c r="G38" s="22">
        <f t="shared" si="25"/>
        <v>1.1200000000000001</v>
      </c>
      <c r="H38" s="24">
        <f t="shared" si="17"/>
        <v>0.94</v>
      </c>
      <c r="I38" s="39">
        <f t="shared" si="18"/>
        <v>0</v>
      </c>
      <c r="J38" s="38">
        <f t="shared" si="19"/>
        <v>0</v>
      </c>
      <c r="K38" s="40">
        <f t="shared" si="20"/>
        <v>0</v>
      </c>
      <c r="L38" s="22">
        <f t="shared" si="21"/>
        <v>0</v>
      </c>
      <c r="M38" s="24">
        <f t="shared" si="22"/>
        <v>0</v>
      </c>
      <c r="N38" s="2"/>
      <c r="O38" s="2"/>
      <c r="P38" s="2"/>
      <c r="Q38" s="248" t="s">
        <v>150</v>
      </c>
      <c r="R38" s="244">
        <f>IF(R25&gt;R$23,R25-R$23,0)</f>
        <v>0</v>
      </c>
      <c r="S38" s="244">
        <f t="shared" si="33"/>
        <v>0</v>
      </c>
      <c r="T38" s="244">
        <f t="shared" si="33"/>
        <v>0</v>
      </c>
      <c r="U38" s="56"/>
      <c r="V38" s="56"/>
      <c r="W38" s="109"/>
      <c r="X38" s="117"/>
      <c r="Y38" s="109"/>
      <c r="Z38" s="115">
        <v>0.25</v>
      </c>
      <c r="AA38" s="146">
        <f t="shared" si="30"/>
        <v>0</v>
      </c>
      <c r="AB38" s="115">
        <v>0.25</v>
      </c>
      <c r="AC38" s="146">
        <f t="shared" si="31"/>
        <v>0</v>
      </c>
      <c r="AD38" s="115">
        <v>0.25</v>
      </c>
      <c r="AE38" s="146">
        <f t="shared" si="32"/>
        <v>0</v>
      </c>
      <c r="AF38" s="121">
        <f t="shared" si="23"/>
        <v>0.25</v>
      </c>
      <c r="AG38" s="146">
        <f t="shared" si="26"/>
        <v>0</v>
      </c>
      <c r="AH38" s="122">
        <f t="shared" si="27"/>
        <v>1</v>
      </c>
      <c r="AI38" s="111">
        <f t="shared" si="27"/>
        <v>0</v>
      </c>
      <c r="AJ38" s="147">
        <f t="shared" si="28"/>
        <v>0</v>
      </c>
      <c r="AK38" s="146">
        <f t="shared" si="29"/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5" ht="14" customHeight="1">
      <c r="A39" s="85" t="str">
        <f>IF([1]Summ!$A1074="","",[1]Summ!$A1074)</f>
        <v>Onions: kg produced</v>
      </c>
      <c r="B39" s="217">
        <f>IF([1]Summ!E1074="",0,[1]Summ!E1074)</f>
        <v>0</v>
      </c>
      <c r="C39" s="217">
        <f>IF([1]Summ!F1074="",0,[1]Summ!F1074)</f>
        <v>0</v>
      </c>
      <c r="D39" s="38">
        <f t="shared" si="24"/>
        <v>0</v>
      </c>
      <c r="E39" s="26">
        <v>1</v>
      </c>
      <c r="F39" s="26">
        <v>0.93</v>
      </c>
      <c r="G39" s="22">
        <f t="shared" si="25"/>
        <v>1.1200000000000001</v>
      </c>
      <c r="H39" s="24">
        <f t="shared" si="17"/>
        <v>0.93</v>
      </c>
      <c r="I39" s="39">
        <f t="shared" si="18"/>
        <v>0</v>
      </c>
      <c r="J39" s="38">
        <f t="shared" si="19"/>
        <v>0</v>
      </c>
      <c r="K39" s="40">
        <f t="shared" si="20"/>
        <v>0</v>
      </c>
      <c r="L39" s="22">
        <f t="shared" si="21"/>
        <v>0</v>
      </c>
      <c r="M39" s="24">
        <f t="shared" si="22"/>
        <v>0</v>
      </c>
      <c r="N39" s="2"/>
      <c r="O39" s="2"/>
      <c r="P39" s="2"/>
      <c r="Q39" s="244" t="s">
        <v>151</v>
      </c>
      <c r="R39" s="244">
        <f>IF(R26&gt;R$23,R26-R$23,0)</f>
        <v>2700.5892727237951</v>
      </c>
      <c r="S39" s="244">
        <f t="shared" si="33"/>
        <v>3558.8555188853425</v>
      </c>
      <c r="T39" s="244">
        <f t="shared" si="33"/>
        <v>0</v>
      </c>
      <c r="U39" s="56"/>
      <c r="V39" s="56"/>
      <c r="W39" s="109"/>
      <c r="X39" s="117"/>
      <c r="Y39" s="109"/>
      <c r="Z39" s="115">
        <v>0.25</v>
      </c>
      <c r="AA39" s="146">
        <f t="shared" si="30"/>
        <v>0</v>
      </c>
      <c r="AB39" s="115">
        <v>0.25</v>
      </c>
      <c r="AC39" s="146">
        <f t="shared" si="31"/>
        <v>0</v>
      </c>
      <c r="AD39" s="115">
        <v>0.25</v>
      </c>
      <c r="AE39" s="146">
        <f t="shared" si="32"/>
        <v>0</v>
      </c>
      <c r="AF39" s="121">
        <f t="shared" si="23"/>
        <v>0.25</v>
      </c>
      <c r="AG39" s="146">
        <f t="shared" si="26"/>
        <v>0</v>
      </c>
      <c r="AH39" s="122">
        <f t="shared" si="27"/>
        <v>1</v>
      </c>
      <c r="AI39" s="111">
        <f t="shared" si="27"/>
        <v>0</v>
      </c>
      <c r="AJ39" s="147">
        <f t="shared" si="28"/>
        <v>0</v>
      </c>
      <c r="AK39" s="146">
        <f t="shared" si="2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5" ht="14" customHeight="1">
      <c r="A40" s="85" t="str">
        <f>IF([1]Summ!$A1075="","",[1]Summ!$A1075)</f>
        <v>Beetroot: kg produced</v>
      </c>
      <c r="B40" s="217">
        <f>IF([1]Summ!E1075="",0,[1]Summ!E1075)</f>
        <v>0</v>
      </c>
      <c r="C40" s="217">
        <f>IF([1]Summ!F1075="",0,[1]Summ!F1075)</f>
        <v>0</v>
      </c>
      <c r="D40" s="38">
        <f t="shared" si="24"/>
        <v>0</v>
      </c>
      <c r="E40" s="26">
        <v>1</v>
      </c>
      <c r="F40" s="26">
        <v>1</v>
      </c>
      <c r="G40" s="22">
        <f t="shared" si="25"/>
        <v>1.1200000000000001</v>
      </c>
      <c r="H40" s="24">
        <f t="shared" si="17"/>
        <v>1</v>
      </c>
      <c r="I40" s="39">
        <f t="shared" si="18"/>
        <v>0</v>
      </c>
      <c r="J40" s="38">
        <f t="shared" si="19"/>
        <v>0</v>
      </c>
      <c r="K40" s="40">
        <f t="shared" si="20"/>
        <v>0</v>
      </c>
      <c r="L40" s="22">
        <f t="shared" si="21"/>
        <v>0</v>
      </c>
      <c r="M40" s="24">
        <f t="shared" si="22"/>
        <v>0</v>
      </c>
      <c r="N40" s="2"/>
      <c r="O40" s="2"/>
      <c r="P40" s="2"/>
      <c r="Q40" s="248" t="s">
        <v>152</v>
      </c>
      <c r="R40" s="244">
        <f>IF(R27&gt;R$23,R27-R$23,0)</f>
        <v>5535.9041272493996</v>
      </c>
      <c r="S40" s="244">
        <f t="shared" si="33"/>
        <v>6328.3055188853396</v>
      </c>
      <c r="T40" s="244">
        <f t="shared" si="33"/>
        <v>2448.7960309873015</v>
      </c>
      <c r="U40" s="56"/>
      <c r="V40" s="56"/>
      <c r="W40" s="109"/>
      <c r="X40" s="117"/>
      <c r="Y40" s="109"/>
      <c r="Z40" s="115">
        <v>0.25</v>
      </c>
      <c r="AA40" s="146">
        <f t="shared" si="30"/>
        <v>0</v>
      </c>
      <c r="AB40" s="115">
        <v>0.25</v>
      </c>
      <c r="AC40" s="146">
        <f t="shared" si="31"/>
        <v>0</v>
      </c>
      <c r="AD40" s="115">
        <v>0.25</v>
      </c>
      <c r="AE40" s="146">
        <f t="shared" si="32"/>
        <v>0</v>
      </c>
      <c r="AF40" s="121">
        <f t="shared" si="23"/>
        <v>0.25</v>
      </c>
      <c r="AG40" s="146">
        <f t="shared" si="26"/>
        <v>0</v>
      </c>
      <c r="AH40" s="122">
        <f t="shared" si="27"/>
        <v>1</v>
      </c>
      <c r="AI40" s="111">
        <f t="shared" si="27"/>
        <v>0</v>
      </c>
      <c r="AJ40" s="147">
        <f t="shared" si="28"/>
        <v>0</v>
      </c>
      <c r="AK40" s="146">
        <f t="shared" si="2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5" ht="14" customHeight="1">
      <c r="A41" s="85" t="str">
        <f>IF([1]Summ!$A1076="","",[1]Summ!$A1076)</f>
        <v>Spinach: kg produced</v>
      </c>
      <c r="B41" s="217">
        <f>IF([1]Summ!E1076="",0,[1]Summ!E1076)</f>
        <v>0</v>
      </c>
      <c r="C41" s="217">
        <f>IF([1]Summ!F1076="",0,[1]Summ!F1076)</f>
        <v>0</v>
      </c>
      <c r="D41" s="38">
        <f t="shared" si="24"/>
        <v>0</v>
      </c>
      <c r="E41" s="26">
        <v>1</v>
      </c>
      <c r="F41" s="26">
        <v>1.03</v>
      </c>
      <c r="G41" s="22">
        <f t="shared" si="25"/>
        <v>1.1200000000000001</v>
      </c>
      <c r="H41" s="24">
        <f t="shared" si="17"/>
        <v>1.03</v>
      </c>
      <c r="I41" s="39">
        <f t="shared" si="18"/>
        <v>0</v>
      </c>
      <c r="J41" s="38">
        <f t="shared" si="19"/>
        <v>0</v>
      </c>
      <c r="K41" s="40">
        <f t="shared" si="20"/>
        <v>0</v>
      </c>
      <c r="L41" s="22">
        <f t="shared" si="21"/>
        <v>0</v>
      </c>
      <c r="M41" s="24">
        <f t="shared" si="22"/>
        <v>0</v>
      </c>
      <c r="N41" s="2"/>
      <c r="O41" s="2"/>
      <c r="P41" s="2"/>
      <c r="Q41" s="56"/>
      <c r="R41" s="56"/>
      <c r="S41" s="56"/>
      <c r="T41" s="56"/>
      <c r="U41" s="56"/>
      <c r="V41" s="56"/>
      <c r="W41" s="109"/>
      <c r="X41" s="117"/>
      <c r="Y41" s="109"/>
      <c r="Z41" s="115">
        <v>0.25</v>
      </c>
      <c r="AA41" s="146">
        <f t="shared" si="30"/>
        <v>0</v>
      </c>
      <c r="AB41" s="115">
        <v>0.25</v>
      </c>
      <c r="AC41" s="146">
        <f t="shared" si="31"/>
        <v>0</v>
      </c>
      <c r="AD41" s="115">
        <v>0.25</v>
      </c>
      <c r="AE41" s="146">
        <f t="shared" si="32"/>
        <v>0</v>
      </c>
      <c r="AF41" s="121">
        <f t="shared" si="23"/>
        <v>0.25</v>
      </c>
      <c r="AG41" s="146">
        <f t="shared" si="26"/>
        <v>0</v>
      </c>
      <c r="AH41" s="122">
        <f t="shared" si="27"/>
        <v>1</v>
      </c>
      <c r="AI41" s="111">
        <f t="shared" si="27"/>
        <v>0</v>
      </c>
      <c r="AJ41" s="147">
        <f t="shared" si="28"/>
        <v>0</v>
      </c>
      <c r="AK41" s="146">
        <f t="shared" si="2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5" ht="14" customHeight="1">
      <c r="A42" s="85" t="str">
        <f>IF([1]Summ!$A1077="","",[1]Summ!$A1077)</f>
        <v>WILD FOODS -- see worksheet Data 3</v>
      </c>
      <c r="B42" s="217">
        <f>IF([1]Summ!E1077="",0,[1]Summ!E1077)</f>
        <v>640</v>
      </c>
      <c r="C42" s="217">
        <f>IF([1]Summ!F1077="",0,[1]Summ!F1077)</f>
        <v>110</v>
      </c>
      <c r="D42" s="38">
        <f t="shared" si="24"/>
        <v>750</v>
      </c>
      <c r="E42" s="26">
        <v>0.8</v>
      </c>
      <c r="F42" s="26">
        <v>1</v>
      </c>
      <c r="G42" s="22">
        <f t="shared" si="25"/>
        <v>1.1200000000000001</v>
      </c>
      <c r="H42" s="24">
        <f t="shared" si="17"/>
        <v>0.8</v>
      </c>
      <c r="I42" s="39">
        <f t="shared" si="18"/>
        <v>600</v>
      </c>
      <c r="J42" s="38">
        <f t="shared" si="19"/>
        <v>600</v>
      </c>
      <c r="K42" s="40">
        <f t="shared" si="20"/>
        <v>1.4359464136656485E-2</v>
      </c>
      <c r="L42" s="22">
        <f t="shared" si="21"/>
        <v>1.1487571309325189E-2</v>
      </c>
      <c r="M42" s="24">
        <f t="shared" si="22"/>
        <v>1.3461997628115455E-2</v>
      </c>
      <c r="N42" s="2"/>
      <c r="O42" s="2"/>
      <c r="P42" s="2"/>
      <c r="Q42" s="56"/>
      <c r="R42" s="41"/>
      <c r="S42" s="56"/>
      <c r="T42" s="56"/>
      <c r="U42" s="56"/>
      <c r="V42" s="56"/>
      <c r="W42" s="109"/>
      <c r="X42" s="117"/>
      <c r="Y42" s="109"/>
      <c r="Z42" s="115">
        <v>0.25</v>
      </c>
      <c r="AA42" s="146">
        <f t="shared" si="30"/>
        <v>150</v>
      </c>
      <c r="AB42" s="115">
        <v>0.25</v>
      </c>
      <c r="AC42" s="146">
        <f t="shared" si="31"/>
        <v>150</v>
      </c>
      <c r="AD42" s="115">
        <v>0.25</v>
      </c>
      <c r="AE42" s="146">
        <f t="shared" si="32"/>
        <v>150</v>
      </c>
      <c r="AF42" s="121">
        <f t="shared" si="23"/>
        <v>0.25</v>
      </c>
      <c r="AG42" s="146">
        <f t="shared" si="26"/>
        <v>150</v>
      </c>
      <c r="AH42" s="122">
        <f t="shared" si="27"/>
        <v>1</v>
      </c>
      <c r="AI42" s="111">
        <f t="shared" si="27"/>
        <v>600</v>
      </c>
      <c r="AJ42" s="147">
        <f t="shared" si="28"/>
        <v>300</v>
      </c>
      <c r="AK42" s="146">
        <f t="shared" si="29"/>
        <v>300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5" ht="14" customHeight="1">
      <c r="A43" s="85" t="str">
        <f>IF([1]Summ!$A1078="","",[1]Summ!$A1078)</f>
        <v>Agricultural cash income -- see Data2</v>
      </c>
      <c r="B43" s="217">
        <f>IF([1]Summ!E1078="",0,[1]Summ!E1078)</f>
        <v>3050</v>
      </c>
      <c r="C43" s="217">
        <f>IF([1]Summ!F1078="",0,[1]Summ!F1078)</f>
        <v>610</v>
      </c>
      <c r="D43" s="38">
        <f t="shared" si="24"/>
        <v>3660</v>
      </c>
      <c r="E43" s="247">
        <v>0.87</v>
      </c>
      <c r="F43" s="247">
        <v>1.1100000000000001</v>
      </c>
      <c r="G43" s="22">
        <f t="shared" si="25"/>
        <v>1.1200000000000001</v>
      </c>
      <c r="H43" s="24">
        <f t="shared" si="17"/>
        <v>0.96570000000000011</v>
      </c>
      <c r="I43" s="39">
        <f t="shared" si="18"/>
        <v>3534.4620000000004</v>
      </c>
      <c r="J43" s="38">
        <f t="shared" si="19"/>
        <v>3534.462</v>
      </c>
      <c r="K43" s="40">
        <f t="shared" si="20"/>
        <v>6.8431821276253565E-2</v>
      </c>
      <c r="L43" s="22">
        <f t="shared" si="21"/>
        <v>6.6084609806478081E-2</v>
      </c>
      <c r="M43" s="24">
        <f t="shared" si="22"/>
        <v>7.9301531767773673E-2</v>
      </c>
      <c r="N43" s="2"/>
      <c r="O43" s="2"/>
      <c r="P43" s="2"/>
      <c r="Q43" s="56"/>
      <c r="R43" s="56"/>
      <c r="S43" s="56"/>
      <c r="T43" s="56"/>
      <c r="U43" s="56"/>
      <c r="V43" s="56"/>
      <c r="W43" s="109"/>
      <c r="X43" s="117"/>
      <c r="Y43" s="109"/>
      <c r="Z43" s="115">
        <v>0.25</v>
      </c>
      <c r="AA43" s="146">
        <f t="shared" si="30"/>
        <v>883.6155</v>
      </c>
      <c r="AB43" s="115">
        <v>0.25</v>
      </c>
      <c r="AC43" s="146">
        <f t="shared" si="31"/>
        <v>883.6155</v>
      </c>
      <c r="AD43" s="115">
        <v>0.25</v>
      </c>
      <c r="AE43" s="146">
        <f t="shared" si="32"/>
        <v>883.6155</v>
      </c>
      <c r="AF43" s="121">
        <f t="shared" si="23"/>
        <v>0.25</v>
      </c>
      <c r="AG43" s="146">
        <f t="shared" si="26"/>
        <v>883.6155</v>
      </c>
      <c r="AH43" s="122">
        <f t="shared" si="27"/>
        <v>1</v>
      </c>
      <c r="AI43" s="111">
        <f t="shared" si="27"/>
        <v>3534.462</v>
      </c>
      <c r="AJ43" s="147">
        <f t="shared" si="28"/>
        <v>1767.231</v>
      </c>
      <c r="AK43" s="146">
        <f t="shared" si="29"/>
        <v>1767.231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5" ht="14" customHeight="1">
      <c r="A44" s="85" t="str">
        <f>IF([1]Summ!$A1079="","",[1]Summ!$A1079)</f>
        <v>Domestic work cash income -- see Data2</v>
      </c>
      <c r="B44" s="217">
        <f>IF([1]Summ!E1079="",0,[1]Summ!E1079)</f>
        <v>9000</v>
      </c>
      <c r="C44" s="217">
        <f>IF([1]Summ!F1079="",0,[1]Summ!F1079)</f>
        <v>1800</v>
      </c>
      <c r="D44" s="38">
        <f t="shared" si="24"/>
        <v>10800</v>
      </c>
      <c r="E44" s="247">
        <v>1</v>
      </c>
      <c r="F44" s="247">
        <v>1.1000000000000001</v>
      </c>
      <c r="G44" s="22">
        <f t="shared" si="25"/>
        <v>1.1200000000000001</v>
      </c>
      <c r="H44" s="24">
        <f t="shared" si="17"/>
        <v>1.1000000000000001</v>
      </c>
      <c r="I44" s="39">
        <f t="shared" si="18"/>
        <v>11880.000000000002</v>
      </c>
      <c r="J44" s="38">
        <f t="shared" si="19"/>
        <v>11880.000000000002</v>
      </c>
      <c r="K44" s="40">
        <f t="shared" si="20"/>
        <v>0.20192996442173181</v>
      </c>
      <c r="L44" s="22">
        <f t="shared" si="21"/>
        <v>0.22212296086390501</v>
      </c>
      <c r="M44" s="24">
        <f t="shared" si="22"/>
        <v>0.26654755303668604</v>
      </c>
      <c r="N44" s="2"/>
      <c r="O44" s="2"/>
      <c r="P44" s="2"/>
      <c r="Q44" s="56"/>
      <c r="R44" s="56"/>
      <c r="S44" s="56"/>
      <c r="T44" s="56"/>
      <c r="U44" s="56"/>
      <c r="V44" s="56"/>
      <c r="W44" s="109"/>
      <c r="X44" s="117"/>
      <c r="Y44" s="109"/>
      <c r="Z44" s="115">
        <v>0.25</v>
      </c>
      <c r="AA44" s="146">
        <f t="shared" si="30"/>
        <v>2970.0000000000005</v>
      </c>
      <c r="AB44" s="115">
        <v>0.25</v>
      </c>
      <c r="AC44" s="146">
        <f t="shared" si="31"/>
        <v>2970.0000000000005</v>
      </c>
      <c r="AD44" s="115">
        <v>0.25</v>
      </c>
      <c r="AE44" s="146">
        <f t="shared" si="32"/>
        <v>2970.0000000000005</v>
      </c>
      <c r="AF44" s="121">
        <f t="shared" si="23"/>
        <v>0.25</v>
      </c>
      <c r="AG44" s="146">
        <f t="shared" si="26"/>
        <v>2970.0000000000005</v>
      </c>
      <c r="AH44" s="122">
        <f t="shared" si="27"/>
        <v>1</v>
      </c>
      <c r="AI44" s="111">
        <f t="shared" si="27"/>
        <v>11880.000000000002</v>
      </c>
      <c r="AJ44" s="147">
        <f t="shared" si="28"/>
        <v>5940.0000000000009</v>
      </c>
      <c r="AK44" s="146">
        <f t="shared" si="29"/>
        <v>5940.0000000000009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5" ht="14" customHeight="1">
      <c r="A45" s="85" t="str">
        <f>IF([1]Summ!$A1080="","",[1]Summ!$A1080)</f>
        <v>Formal Employment (conservancies, etc.)</v>
      </c>
      <c r="B45" s="217">
        <f>IF([1]Summ!E1080="",0,[1]Summ!E1080)</f>
        <v>0</v>
      </c>
      <c r="C45" s="217">
        <f>IF([1]Summ!F1080="",0,[1]Summ!F1080)</f>
        <v>0</v>
      </c>
      <c r="D45" s="38">
        <f t="shared" si="24"/>
        <v>0</v>
      </c>
      <c r="E45" s="26">
        <v>1</v>
      </c>
      <c r="F45" s="26">
        <v>1.07</v>
      </c>
      <c r="G45" s="22">
        <f t="shared" si="25"/>
        <v>1.1200000000000001</v>
      </c>
      <c r="H45" s="24">
        <f t="shared" si="17"/>
        <v>1.07</v>
      </c>
      <c r="I45" s="39">
        <f t="shared" si="18"/>
        <v>0</v>
      </c>
      <c r="J45" s="38">
        <f t="shared" si="19"/>
        <v>0</v>
      </c>
      <c r="K45" s="40">
        <f t="shared" si="20"/>
        <v>0</v>
      </c>
      <c r="L45" s="22">
        <f t="shared" si="21"/>
        <v>0</v>
      </c>
      <c r="M45" s="24">
        <f t="shared" si="22"/>
        <v>0</v>
      </c>
      <c r="N45" s="2"/>
      <c r="O45" s="2"/>
      <c r="P45" s="2"/>
      <c r="Q45" s="56"/>
      <c r="R45" s="56"/>
      <c r="S45" s="56"/>
      <c r="T45" s="56"/>
      <c r="U45" s="56"/>
      <c r="V45" s="56"/>
      <c r="W45" s="109"/>
      <c r="X45" s="117"/>
      <c r="Y45" s="109"/>
      <c r="Z45" s="115">
        <v>0.25</v>
      </c>
      <c r="AA45" s="146">
        <f t="shared" si="30"/>
        <v>0</v>
      </c>
      <c r="AB45" s="115">
        <v>0.25</v>
      </c>
      <c r="AC45" s="146">
        <f t="shared" si="31"/>
        <v>0</v>
      </c>
      <c r="AD45" s="115">
        <v>0.25</v>
      </c>
      <c r="AE45" s="146">
        <f t="shared" si="32"/>
        <v>0</v>
      </c>
      <c r="AF45" s="121">
        <f t="shared" si="23"/>
        <v>0.25</v>
      </c>
      <c r="AG45" s="146">
        <f t="shared" si="26"/>
        <v>0</v>
      </c>
      <c r="AH45" s="122">
        <f t="shared" si="27"/>
        <v>1</v>
      </c>
      <c r="AI45" s="111">
        <f t="shared" si="27"/>
        <v>0</v>
      </c>
      <c r="AJ45" s="147">
        <f t="shared" si="28"/>
        <v>0</v>
      </c>
      <c r="AK45" s="146">
        <f t="shared" si="2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5" ht="14" customHeight="1">
      <c r="A46" s="85" t="str">
        <f>IF([1]Summ!$A1081="","",[1]Summ!$A1081)</f>
        <v>Self-employment -- see Data2</v>
      </c>
      <c r="B46" s="217">
        <f>IF([1]Summ!E1081="",0,[1]Summ!E1081)</f>
        <v>4100</v>
      </c>
      <c r="C46" s="217">
        <f>IF([1]Summ!F1081="",0,[1]Summ!F1081)</f>
        <v>820</v>
      </c>
      <c r="D46" s="38">
        <f t="shared" si="24"/>
        <v>4920</v>
      </c>
      <c r="E46" s="26">
        <v>1</v>
      </c>
      <c r="F46" s="26">
        <v>1.1000000000000001</v>
      </c>
      <c r="G46" s="22">
        <f t="shared" si="25"/>
        <v>1.1200000000000001</v>
      </c>
      <c r="H46" s="24">
        <f t="shared" si="17"/>
        <v>1.1000000000000001</v>
      </c>
      <c r="I46" s="39">
        <f t="shared" si="18"/>
        <v>5412</v>
      </c>
      <c r="J46" s="38">
        <f t="shared" si="19"/>
        <v>5412.0000000000009</v>
      </c>
      <c r="K46" s="40">
        <f t="shared" si="20"/>
        <v>9.1990317125455606E-2</v>
      </c>
      <c r="L46" s="22">
        <f t="shared" si="21"/>
        <v>0.10118934883800118</v>
      </c>
      <c r="M46" s="24">
        <f t="shared" si="22"/>
        <v>0.12142721860560142</v>
      </c>
      <c r="N46" s="2"/>
      <c r="O46" s="2"/>
      <c r="P46" s="2"/>
      <c r="Q46" s="56"/>
      <c r="R46" s="56"/>
      <c r="S46" s="56"/>
      <c r="T46" s="56"/>
      <c r="U46" s="56"/>
      <c r="V46" s="56"/>
      <c r="W46" s="109"/>
      <c r="X46" s="117"/>
      <c r="Y46" s="109"/>
      <c r="Z46" s="115">
        <v>0.25</v>
      </c>
      <c r="AA46" s="146">
        <f t="shared" si="30"/>
        <v>1353.0000000000002</v>
      </c>
      <c r="AB46" s="115">
        <v>0.25</v>
      </c>
      <c r="AC46" s="146">
        <f t="shared" si="31"/>
        <v>1353.0000000000002</v>
      </c>
      <c r="AD46" s="115">
        <v>0.25</v>
      </c>
      <c r="AE46" s="146">
        <f t="shared" si="32"/>
        <v>1353.0000000000002</v>
      </c>
      <c r="AF46" s="121">
        <f t="shared" si="23"/>
        <v>0.25</v>
      </c>
      <c r="AG46" s="146">
        <f t="shared" si="26"/>
        <v>1353.0000000000002</v>
      </c>
      <c r="AH46" s="122">
        <f t="shared" ref="AH46:AI51" si="34">SUM(Z46,AB46,AD46,AF46)</f>
        <v>1</v>
      </c>
      <c r="AI46" s="111">
        <f t="shared" si="34"/>
        <v>5412.0000000000009</v>
      </c>
      <c r="AJ46" s="147">
        <f t="shared" si="28"/>
        <v>2706.0000000000005</v>
      </c>
      <c r="AK46" s="146">
        <f t="shared" si="29"/>
        <v>2706.0000000000005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5" ht="14" customHeight="1">
      <c r="A47" s="85" t="str">
        <f>IF([1]Summ!$A1082="","",[1]Summ!$A1082)</f>
        <v>Small business -- see Data2</v>
      </c>
      <c r="B47" s="217">
        <f>IF([1]Summ!E1082="",0,[1]Summ!E1082)</f>
        <v>840</v>
      </c>
      <c r="C47" s="217">
        <f>IF([1]Summ!F1082="",0,[1]Summ!F1082)</f>
        <v>0</v>
      </c>
      <c r="D47" s="38">
        <f t="shared" si="24"/>
        <v>840</v>
      </c>
      <c r="E47" s="26">
        <v>1</v>
      </c>
      <c r="F47" s="26">
        <v>1.05</v>
      </c>
      <c r="G47" s="22">
        <f t="shared" si="25"/>
        <v>1.1200000000000001</v>
      </c>
      <c r="H47" s="24">
        <f t="shared" si="17"/>
        <v>1.05</v>
      </c>
      <c r="I47" s="39">
        <f t="shared" si="18"/>
        <v>882</v>
      </c>
      <c r="J47" s="38">
        <f t="shared" si="19"/>
        <v>882.00000000000011</v>
      </c>
      <c r="K47" s="40">
        <f t="shared" si="20"/>
        <v>1.8846796679361635E-2</v>
      </c>
      <c r="L47" s="22">
        <f t="shared" si="21"/>
        <v>1.9789136513329718E-2</v>
      </c>
      <c r="M47" s="24">
        <f t="shared" si="22"/>
        <v>1.9789136513329721E-2</v>
      </c>
      <c r="N47" s="2"/>
      <c r="O47" s="2"/>
      <c r="P47" s="2"/>
      <c r="Q47" s="56"/>
      <c r="R47" s="56"/>
      <c r="S47" s="56"/>
      <c r="T47" s="56"/>
      <c r="U47" s="56"/>
      <c r="V47" s="56"/>
      <c r="W47" s="109"/>
      <c r="X47" s="117"/>
      <c r="Y47" s="109"/>
      <c r="Z47" s="115">
        <v>0.25</v>
      </c>
      <c r="AA47" s="146">
        <f t="shared" si="30"/>
        <v>220.50000000000003</v>
      </c>
      <c r="AB47" s="115">
        <v>0.25</v>
      </c>
      <c r="AC47" s="146">
        <f t="shared" si="31"/>
        <v>220.50000000000003</v>
      </c>
      <c r="AD47" s="115">
        <v>0.25</v>
      </c>
      <c r="AE47" s="146">
        <f t="shared" si="32"/>
        <v>220.50000000000003</v>
      </c>
      <c r="AF47" s="121">
        <f t="shared" si="23"/>
        <v>0.25</v>
      </c>
      <c r="AG47" s="146">
        <f t="shared" si="26"/>
        <v>220.50000000000003</v>
      </c>
      <c r="AH47" s="122">
        <f t="shared" si="34"/>
        <v>1</v>
      </c>
      <c r="AI47" s="111">
        <f t="shared" si="34"/>
        <v>882.00000000000011</v>
      </c>
      <c r="AJ47" s="147">
        <f t="shared" si="28"/>
        <v>441.00000000000006</v>
      </c>
      <c r="AK47" s="146">
        <f t="shared" si="29"/>
        <v>441.00000000000006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5" ht="14" customHeight="1">
      <c r="A48" s="85" t="str">
        <f>IF([1]Summ!$A1083="","",[1]Summ!$A1083)</f>
        <v>Social Cash Transfers -- see Data2</v>
      </c>
      <c r="B48" s="217">
        <f>IF([1]Summ!E1083="",0,[1]Summ!E1083)</f>
        <v>19980.908313376669</v>
      </c>
      <c r="C48" s="217">
        <f>IF([1]Summ!F1083="",0,[1]Summ!F1083)</f>
        <v>0</v>
      </c>
      <c r="D48" s="38">
        <f t="shared" si="24"/>
        <v>19980.908313376669</v>
      </c>
      <c r="E48" s="26">
        <v>1</v>
      </c>
      <c r="F48" s="26">
        <v>1.1100000000000001</v>
      </c>
      <c r="G48" s="22">
        <f t="shared" si="25"/>
        <v>1.1200000000000001</v>
      </c>
      <c r="H48" s="24">
        <f t="shared" si="17"/>
        <v>1.1100000000000001</v>
      </c>
      <c r="I48" s="39">
        <f t="shared" si="18"/>
        <v>22178.808227848105</v>
      </c>
      <c r="J48" s="38">
        <f t="shared" si="19"/>
        <v>22178.808227848109</v>
      </c>
      <c r="K48" s="40">
        <f t="shared" si="20"/>
        <v>0.44830490053711514</v>
      </c>
      <c r="L48" s="22">
        <f t="shared" si="21"/>
        <v>0.49761843959619784</v>
      </c>
      <c r="M48" s="24">
        <f t="shared" si="22"/>
        <v>0.49761843959619795</v>
      </c>
      <c r="N48" s="2"/>
      <c r="O48" s="2"/>
      <c r="P48" s="2"/>
      <c r="Q48" s="56"/>
      <c r="R48" s="56"/>
      <c r="S48" s="56"/>
      <c r="T48" s="56"/>
      <c r="U48" s="56"/>
      <c r="V48" s="56"/>
      <c r="W48" s="109"/>
      <c r="X48" s="117"/>
      <c r="Y48" s="109"/>
      <c r="Z48" s="115">
        <v>0.25</v>
      </c>
      <c r="AA48" s="146">
        <f t="shared" si="30"/>
        <v>5544.7020569620272</v>
      </c>
      <c r="AB48" s="115">
        <v>0.25</v>
      </c>
      <c r="AC48" s="146">
        <f t="shared" si="31"/>
        <v>5544.7020569620272</v>
      </c>
      <c r="AD48" s="115">
        <v>0.25</v>
      </c>
      <c r="AE48" s="146">
        <f t="shared" si="32"/>
        <v>5544.7020569620272</v>
      </c>
      <c r="AF48" s="121">
        <f t="shared" si="23"/>
        <v>0.25</v>
      </c>
      <c r="AG48" s="146">
        <f t="shared" si="26"/>
        <v>5544.7020569620272</v>
      </c>
      <c r="AH48" s="122">
        <f t="shared" si="34"/>
        <v>1</v>
      </c>
      <c r="AI48" s="111">
        <f t="shared" si="34"/>
        <v>22178.808227848109</v>
      </c>
      <c r="AJ48" s="147">
        <f t="shared" si="28"/>
        <v>11089.404113924054</v>
      </c>
      <c r="AK48" s="146">
        <f t="shared" si="29"/>
        <v>11089.404113924054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Public works -- see Data2</v>
      </c>
      <c r="B49" s="217">
        <f>IF([1]Summ!E1084="",0,[1]Summ!E1084)</f>
        <v>561</v>
      </c>
      <c r="C49" s="217">
        <f>IF([1]Summ!F1084="",0,[1]Summ!F1084)</f>
        <v>0</v>
      </c>
      <c r="D49" s="38">
        <f t="shared" si="24"/>
        <v>561</v>
      </c>
      <c r="E49" s="26">
        <v>1</v>
      </c>
      <c r="F49" s="26">
        <v>1.07</v>
      </c>
      <c r="G49" s="22">
        <f t="shared" si="25"/>
        <v>1.1200000000000001</v>
      </c>
      <c r="H49" s="24">
        <f t="shared" si="17"/>
        <v>1.07</v>
      </c>
      <c r="I49" s="39">
        <f t="shared" si="18"/>
        <v>600.27</v>
      </c>
      <c r="J49" s="38">
        <f t="shared" si="19"/>
        <v>600.27</v>
      </c>
      <c r="K49" s="40">
        <f t="shared" si="20"/>
        <v>1.2586967782287951E-2</v>
      </c>
      <c r="L49" s="22">
        <f t="shared" si="21"/>
        <v>1.3468055527048108E-2</v>
      </c>
      <c r="M49" s="24">
        <f t="shared" si="22"/>
        <v>1.3468055527048106E-2</v>
      </c>
      <c r="N49" s="2"/>
      <c r="O49" s="2"/>
      <c r="P49" s="2"/>
      <c r="Q49" s="56"/>
      <c r="R49" s="56"/>
      <c r="S49" s="56"/>
      <c r="T49" s="56"/>
      <c r="U49" s="56"/>
      <c r="V49" s="56"/>
      <c r="W49" s="109"/>
      <c r="X49" s="117"/>
      <c r="Y49" s="109"/>
      <c r="Z49" s="115">
        <v>0.25</v>
      </c>
      <c r="AA49" s="146">
        <f t="shared" si="30"/>
        <v>150.0675</v>
      </c>
      <c r="AB49" s="115">
        <v>0.25</v>
      </c>
      <c r="AC49" s="146">
        <f t="shared" si="31"/>
        <v>150.0675</v>
      </c>
      <c r="AD49" s="115">
        <v>0.25</v>
      </c>
      <c r="AE49" s="146">
        <f t="shared" si="32"/>
        <v>150.0675</v>
      </c>
      <c r="AF49" s="121">
        <f t="shared" si="23"/>
        <v>0.25</v>
      </c>
      <c r="AG49" s="146">
        <f t="shared" si="26"/>
        <v>150.0675</v>
      </c>
      <c r="AH49" s="122">
        <f t="shared" si="34"/>
        <v>1</v>
      </c>
      <c r="AI49" s="111">
        <f t="shared" si="34"/>
        <v>600.27</v>
      </c>
      <c r="AJ49" s="147">
        <f t="shared" si="28"/>
        <v>300.13499999999999</v>
      </c>
      <c r="AK49" s="146">
        <f t="shared" si="29"/>
        <v>300.13499999999999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>Other income: e.g. Credit (cotton loans)</v>
      </c>
      <c r="B50" s="217">
        <f>IF([1]Summ!E1085="",0,[1]Summ!E1085)</f>
        <v>0</v>
      </c>
      <c r="C50" s="217">
        <f>IF([1]Summ!F1085="",0,[1]Summ!F1085)</f>
        <v>0</v>
      </c>
      <c r="D50" s="38">
        <f t="shared" si="24"/>
        <v>0</v>
      </c>
      <c r="E50" s="26">
        <v>1</v>
      </c>
      <c r="F50" s="26">
        <v>1</v>
      </c>
      <c r="G50" s="22">
        <f t="shared" si="25"/>
        <v>1.1200000000000001</v>
      </c>
      <c r="H50" s="24">
        <f t="shared" si="17"/>
        <v>1</v>
      </c>
      <c r="I50" s="39">
        <f t="shared" si="18"/>
        <v>0</v>
      </c>
      <c r="J50" s="38">
        <f t="shared" si="19"/>
        <v>0</v>
      </c>
      <c r="K50" s="40">
        <f t="shared" si="20"/>
        <v>0</v>
      </c>
      <c r="L50" s="22">
        <f t="shared" si="21"/>
        <v>0</v>
      </c>
      <c r="M50" s="24">
        <f t="shared" si="22"/>
        <v>0</v>
      </c>
      <c r="N50" s="2"/>
      <c r="O50" s="2"/>
      <c r="P50" s="2"/>
      <c r="Q50" s="56"/>
      <c r="R50" s="56"/>
      <c r="S50" s="56"/>
      <c r="T50" s="56"/>
      <c r="U50" s="56"/>
      <c r="V50" s="56"/>
      <c r="W50" s="109"/>
      <c r="X50" s="117"/>
      <c r="Y50" s="109"/>
      <c r="Z50" s="115">
        <v>0.25</v>
      </c>
      <c r="AA50" s="146">
        <f t="shared" si="30"/>
        <v>0</v>
      </c>
      <c r="AB50" s="115">
        <v>0.25</v>
      </c>
      <c r="AC50" s="146">
        <f t="shared" si="31"/>
        <v>0</v>
      </c>
      <c r="AD50" s="115">
        <v>0.25</v>
      </c>
      <c r="AE50" s="146">
        <f t="shared" si="32"/>
        <v>0</v>
      </c>
      <c r="AF50" s="121">
        <f t="shared" si="23"/>
        <v>0.25</v>
      </c>
      <c r="AG50" s="146">
        <f t="shared" si="26"/>
        <v>0</v>
      </c>
      <c r="AH50" s="122">
        <f t="shared" si="34"/>
        <v>1</v>
      </c>
      <c r="AI50" s="111">
        <f t="shared" si="34"/>
        <v>0</v>
      </c>
      <c r="AJ50" s="147">
        <f t="shared" si="28"/>
        <v>0</v>
      </c>
      <c r="AK50" s="146">
        <f t="shared" si="2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>Remittances: no. times per year</v>
      </c>
      <c r="B51" s="217">
        <f>IF([1]Summ!E1086="",0,[1]Summ!E1086)</f>
        <v>3600</v>
      </c>
      <c r="C51" s="217">
        <f>IF([1]Summ!F1086="",0,[1]Summ!F1086)</f>
        <v>0</v>
      </c>
      <c r="D51" s="38">
        <f t="shared" si="24"/>
        <v>3600</v>
      </c>
      <c r="E51" s="26">
        <v>1</v>
      </c>
      <c r="F51" s="26">
        <v>1.05</v>
      </c>
      <c r="G51" s="22">
        <f t="shared" si="25"/>
        <v>1.1200000000000001</v>
      </c>
      <c r="H51" s="24">
        <f t="shared" si="17"/>
        <v>1.05</v>
      </c>
      <c r="I51" s="39">
        <f t="shared" si="18"/>
        <v>3780</v>
      </c>
      <c r="J51" s="38">
        <f t="shared" si="19"/>
        <v>3780.0000000000005</v>
      </c>
      <c r="K51" s="40">
        <f t="shared" si="20"/>
        <v>8.0771985768692725E-2</v>
      </c>
      <c r="L51" s="22">
        <f t="shared" si="21"/>
        <v>8.4810585057127366E-2</v>
      </c>
      <c r="M51" s="24">
        <f t="shared" si="22"/>
        <v>8.481058505712738E-2</v>
      </c>
      <c r="N51" s="2"/>
      <c r="O51" s="2"/>
      <c r="P51" s="2"/>
      <c r="Q51" s="56"/>
      <c r="R51" s="56"/>
      <c r="S51" s="56"/>
      <c r="T51" s="56"/>
      <c r="U51" s="56"/>
      <c r="V51" s="56"/>
      <c r="W51" s="109"/>
      <c r="X51" s="117"/>
      <c r="Y51" s="109"/>
      <c r="Z51" s="115">
        <v>0.25</v>
      </c>
      <c r="AA51" s="148">
        <f t="shared" si="30"/>
        <v>945.00000000000011</v>
      </c>
      <c r="AB51" s="115">
        <v>0.25</v>
      </c>
      <c r="AC51" s="148">
        <f t="shared" si="31"/>
        <v>945.00000000000011</v>
      </c>
      <c r="AD51" s="115">
        <v>0.25</v>
      </c>
      <c r="AE51" s="148">
        <f t="shared" si="32"/>
        <v>945.00000000000011</v>
      </c>
      <c r="AF51" s="149">
        <f t="shared" si="23"/>
        <v>0.25</v>
      </c>
      <c r="AG51" s="148">
        <f t="shared" si="26"/>
        <v>945.00000000000011</v>
      </c>
      <c r="AH51" s="122">
        <f t="shared" si="34"/>
        <v>1</v>
      </c>
      <c r="AI51" s="111">
        <f t="shared" si="34"/>
        <v>3780.0000000000005</v>
      </c>
      <c r="AJ51" s="150">
        <f t="shared" si="28"/>
        <v>1890.0000000000002</v>
      </c>
      <c r="AK51" s="148">
        <f t="shared" si="29"/>
        <v>1890.0000000000002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41" t="s">
        <v>33</v>
      </c>
      <c r="B52" s="41">
        <f>SUM(B29:B51)</f>
        <v>44569.908313376669</v>
      </c>
      <c r="C52" s="41">
        <f>SUM(C29:C51)</f>
        <v>3340</v>
      </c>
      <c r="D52" s="42">
        <f>SUM(D29:D51)</f>
        <v>47909.908313376669</v>
      </c>
      <c r="E52" s="32"/>
      <c r="F52" s="32"/>
      <c r="G52" s="32"/>
      <c r="H52" s="31"/>
      <c r="I52" s="39">
        <f>SUM(I29:I51)</f>
        <v>51761.360227848105</v>
      </c>
      <c r="J52" s="39">
        <f>SUM(J29:J51)</f>
        <v>51761.360227848105</v>
      </c>
      <c r="K52" s="40">
        <f>SUM(K29:K51)</f>
        <v>0.99999999999999989</v>
      </c>
      <c r="L52" s="22">
        <f>SUM(L29:L51)</f>
        <v>1.0814983708050676</v>
      </c>
      <c r="M52" s="24">
        <f>SUM(M29:M51)</f>
        <v>1.1613521810255349</v>
      </c>
      <c r="N52" s="2"/>
      <c r="O52" s="2"/>
      <c r="P52" s="2"/>
      <c r="Q52" s="56"/>
      <c r="R52" s="56"/>
      <c r="S52" s="56"/>
      <c r="T52" s="56"/>
      <c r="U52" s="56"/>
      <c r="V52" s="56"/>
      <c r="W52" s="109"/>
      <c r="X52" s="151"/>
      <c r="Y52" s="109"/>
      <c r="Z52" s="136"/>
      <c r="AA52" s="152">
        <f>SUM(AA29:AA51)</f>
        <v>12281.186892766702</v>
      </c>
      <c r="AB52" s="136"/>
      <c r="AC52" s="152">
        <f>SUM(AC29:AC51)</f>
        <v>12281.186892766702</v>
      </c>
      <c r="AD52" s="136"/>
      <c r="AE52" s="152">
        <f>SUM(AE29:AE51)</f>
        <v>12281.186892766702</v>
      </c>
      <c r="AF52" s="136"/>
      <c r="AG52" s="152">
        <f>SUM(AG29:AG51)</f>
        <v>14917.799549548001</v>
      </c>
      <c r="AH52" s="136"/>
      <c r="AI52" s="152">
        <f>SUM(AI29:AI51)</f>
        <v>51761.360227848105</v>
      </c>
      <c r="AJ52" s="152">
        <f>SUM(AJ29:AJ51)</f>
        <v>24562.373785533404</v>
      </c>
      <c r="AK52" s="152">
        <f>SUM(AK29:AK51)</f>
        <v>27198.986442314705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3.5" customHeight="1">
      <c r="A53" s="43"/>
      <c r="B53" s="43"/>
      <c r="C53" s="43"/>
      <c r="D53" s="44"/>
      <c r="E53" s="14"/>
      <c r="F53" s="14"/>
      <c r="G53" s="14"/>
      <c r="H53" s="44"/>
      <c r="I53" s="14"/>
      <c r="J53" s="44"/>
      <c r="K53" s="45"/>
      <c r="L53" s="11"/>
      <c r="M53" s="10"/>
      <c r="N53" s="2"/>
      <c r="O53" s="2"/>
      <c r="P53" s="2"/>
      <c r="Q53" s="56"/>
      <c r="R53" s="56"/>
      <c r="S53" s="56"/>
      <c r="T53" s="56"/>
      <c r="U53" s="56"/>
      <c r="V53" s="56"/>
      <c r="W53" s="109"/>
      <c r="X53" s="117"/>
      <c r="Y53" s="109"/>
      <c r="Z53" s="142"/>
      <c r="AA53" s="153"/>
      <c r="AB53" s="142"/>
      <c r="AC53" s="153"/>
      <c r="AD53" s="142"/>
      <c r="AE53" s="153"/>
      <c r="AF53" s="142"/>
      <c r="AG53" s="153"/>
      <c r="AH53" s="142"/>
      <c r="AI53" s="153"/>
      <c r="AJ53" s="142"/>
      <c r="AK53" s="143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5.75" customHeight="1">
      <c r="A54" s="15" t="s">
        <v>34</v>
      </c>
      <c r="B54" s="46"/>
      <c r="C54" s="46"/>
      <c r="D54" s="38"/>
      <c r="E54" s="32"/>
      <c r="F54" s="32"/>
      <c r="G54" s="32"/>
      <c r="H54" s="31"/>
      <c r="I54" s="47"/>
      <c r="J54" s="48"/>
      <c r="K54" s="34" t="s">
        <v>35</v>
      </c>
      <c r="L54" s="2"/>
      <c r="M54" s="31"/>
      <c r="N54" s="2"/>
      <c r="O54" s="2"/>
      <c r="P54" s="2"/>
      <c r="Q54" s="56"/>
      <c r="R54" s="56"/>
      <c r="S54" s="56"/>
      <c r="T54" s="56"/>
      <c r="U54" s="56"/>
      <c r="V54" s="56"/>
      <c r="W54" s="109"/>
      <c r="X54" s="117"/>
      <c r="Y54" s="109"/>
      <c r="Z54" s="144"/>
      <c r="AA54" s="146"/>
      <c r="AB54" s="144"/>
      <c r="AC54" s="146"/>
      <c r="AD54" s="144"/>
      <c r="AE54" s="146"/>
      <c r="AF54" s="144"/>
      <c r="AG54" s="146"/>
      <c r="AH54" s="144"/>
      <c r="AI54" s="146"/>
      <c r="AJ54" s="144"/>
      <c r="AK54" s="145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49"/>
      <c r="B55" s="46" t="s">
        <v>7</v>
      </c>
      <c r="C55" s="46"/>
      <c r="D55" s="50"/>
      <c r="E55" s="19" t="s">
        <v>10</v>
      </c>
      <c r="F55" s="2" t="s">
        <v>29</v>
      </c>
      <c r="G55" s="2"/>
      <c r="H55" s="16" t="s">
        <v>12</v>
      </c>
      <c r="I55" s="19" t="s">
        <v>13</v>
      </c>
      <c r="J55" s="16" t="s">
        <v>14</v>
      </c>
      <c r="K55" s="37" t="s">
        <v>7</v>
      </c>
      <c r="L55" s="19" t="s">
        <v>15</v>
      </c>
      <c r="M55" s="16" t="s">
        <v>14</v>
      </c>
      <c r="N55" s="2"/>
      <c r="O55" s="2"/>
      <c r="P55" s="2"/>
      <c r="Q55" s="56"/>
      <c r="R55" s="56"/>
      <c r="S55" s="56"/>
      <c r="T55" s="56"/>
      <c r="U55" s="56"/>
      <c r="V55" s="56"/>
      <c r="W55" s="111"/>
      <c r="X55" s="117"/>
      <c r="Y55" s="109"/>
      <c r="Z55" s="144"/>
      <c r="AA55" s="146"/>
      <c r="AB55" s="144"/>
      <c r="AC55" s="146"/>
      <c r="AD55" s="144"/>
      <c r="AE55" s="146"/>
      <c r="AF55" s="144"/>
      <c r="AG55" s="146"/>
      <c r="AH55" s="144"/>
      <c r="AI55" s="146"/>
      <c r="AJ55" s="144"/>
      <c r="AK55" s="145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46" t="s">
        <v>31</v>
      </c>
      <c r="B56" s="46" t="s">
        <v>36</v>
      </c>
      <c r="C56" s="46"/>
      <c r="D56" s="38"/>
      <c r="E56" s="19" t="s">
        <v>18</v>
      </c>
      <c r="F56" s="2" t="s">
        <v>32</v>
      </c>
      <c r="G56" s="2"/>
      <c r="H56" s="16" t="s">
        <v>18</v>
      </c>
      <c r="I56" s="19" t="s">
        <v>36</v>
      </c>
      <c r="J56" s="16" t="s">
        <v>36</v>
      </c>
      <c r="K56" s="37" t="s">
        <v>36</v>
      </c>
      <c r="L56" s="19" t="s">
        <v>20</v>
      </c>
      <c r="M56" s="16" t="s">
        <v>36</v>
      </c>
      <c r="N56" s="2"/>
      <c r="O56" s="2"/>
      <c r="P56" s="2"/>
      <c r="Q56" s="56"/>
      <c r="R56" s="56"/>
      <c r="S56" s="56"/>
      <c r="T56" s="56"/>
      <c r="U56" s="56"/>
      <c r="V56" s="56"/>
      <c r="W56" s="109"/>
      <c r="X56" s="117"/>
      <c r="Y56" s="109"/>
      <c r="Z56" s="144"/>
      <c r="AA56" s="146"/>
      <c r="AB56" s="144"/>
      <c r="AC56" s="146"/>
      <c r="AD56" s="144"/>
      <c r="AE56" s="146"/>
      <c r="AF56" s="144"/>
      <c r="AG56" s="146"/>
      <c r="AH56" s="144"/>
      <c r="AI56" s="146"/>
      <c r="AJ56" s="144"/>
      <c r="AK56" s="145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64" t="s">
        <v>135</v>
      </c>
      <c r="B57" s="103">
        <f>SUM([1]Summ!E1031)</f>
        <v>13477.244998392132</v>
      </c>
      <c r="C57" s="46"/>
      <c r="D57" s="38"/>
      <c r="E57" s="26">
        <v>1</v>
      </c>
      <c r="F57" s="247">
        <v>1.1399999999999999</v>
      </c>
      <c r="G57" s="22"/>
      <c r="H57" s="24">
        <f>(E57*F57)</f>
        <v>1.1399999999999999</v>
      </c>
      <c r="I57" s="39">
        <f>I106*I$70</f>
        <v>15364.059298167027</v>
      </c>
      <c r="J57" s="51">
        <f>J106*I$70</f>
        <v>15364.059298167027</v>
      </c>
      <c r="K57" s="40">
        <f>B57/B$63</f>
        <v>0.30238440033647629</v>
      </c>
      <c r="L57" s="22">
        <f>(L106*G$29*F$9/F$7)/B$112</f>
        <v>0.34471821638358291</v>
      </c>
      <c r="M57" s="24">
        <f>J57/B$63</f>
        <v>0.34471821638358285</v>
      </c>
      <c r="N57" s="2"/>
      <c r="O57" s="2"/>
      <c r="P57" s="2"/>
      <c r="Q57" s="56"/>
      <c r="R57" s="56"/>
      <c r="S57" s="56"/>
      <c r="T57" s="56"/>
      <c r="U57" s="56"/>
      <c r="V57" s="56"/>
      <c r="W57" s="109"/>
      <c r="X57" s="117"/>
      <c r="Y57" s="109"/>
      <c r="Z57" s="115">
        <v>0.25</v>
      </c>
      <c r="AA57" s="146">
        <f>$J57*Z57</f>
        <v>3841.0148245417568</v>
      </c>
      <c r="AB57" s="115">
        <v>0.25</v>
      </c>
      <c r="AC57" s="146">
        <f>$J57*AB57</f>
        <v>3841.0148245417568</v>
      </c>
      <c r="AD57" s="115">
        <v>0.25</v>
      </c>
      <c r="AE57" s="146">
        <f>$J57*AD57</f>
        <v>3841.0148245417568</v>
      </c>
      <c r="AF57" s="121">
        <f>1-SUM(Z57,AB57,AD57)</f>
        <v>0.25</v>
      </c>
      <c r="AG57" s="146">
        <f>$J57*AF57</f>
        <v>3841.0148245417568</v>
      </c>
      <c r="AH57" s="154">
        <f>SUM(Z57,AB57,AD57,AF57)</f>
        <v>1</v>
      </c>
      <c r="AI57" s="146">
        <f>SUM(AA57,AC57,AE57,AG57)</f>
        <v>15364.059298167027</v>
      </c>
      <c r="AJ57" s="147">
        <f>(AA57+AC57)</f>
        <v>7682.0296490835135</v>
      </c>
      <c r="AK57" s="146">
        <f>(AE57+AG57)</f>
        <v>7682.0296490835135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3.5" customHeight="1">
      <c r="A58" s="64" t="s">
        <v>137</v>
      </c>
      <c r="B58" s="103">
        <f>SUM([1]Summ!E1032)</f>
        <v>11684</v>
      </c>
      <c r="C58" s="46"/>
      <c r="D58" s="38"/>
      <c r="E58" s="26">
        <v>1</v>
      </c>
      <c r="F58" s="247">
        <v>1.1100000000000001</v>
      </c>
      <c r="G58" s="22"/>
      <c r="H58" s="24">
        <f>(E58*F58)</f>
        <v>1.1100000000000001</v>
      </c>
      <c r="I58" s="39">
        <f>I107*I$70</f>
        <v>12969.240000000003</v>
      </c>
      <c r="J58" s="51">
        <f>J107*I$70</f>
        <v>12969.240000000003</v>
      </c>
      <c r="K58" s="40">
        <f>B58/B$63</f>
        <v>0.26214996714483496</v>
      </c>
      <c r="L58" s="22">
        <f>(L107*G$29*F$9/F$7)/B$112</f>
        <v>0.2909864635307669</v>
      </c>
      <c r="M58" s="24">
        <f>J58/B$63</f>
        <v>0.29098646353076685</v>
      </c>
      <c r="O58" s="2"/>
      <c r="P58" s="2"/>
      <c r="Q58" s="56"/>
      <c r="R58" s="56"/>
      <c r="S58" s="56"/>
      <c r="T58" s="56"/>
      <c r="U58" s="56"/>
      <c r="V58" s="56"/>
      <c r="W58" s="109"/>
      <c r="X58" s="117"/>
      <c r="Y58" s="109"/>
      <c r="Z58" s="115">
        <v>0.25</v>
      </c>
      <c r="AA58" s="146">
        <f>$H$58*$B$58*Z58</f>
        <v>3242.3100000000004</v>
      </c>
      <c r="AB58" s="115">
        <v>0.25</v>
      </c>
      <c r="AC58" s="146">
        <f>$H$58*$B$58*AB58</f>
        <v>3242.3100000000004</v>
      </c>
      <c r="AD58" s="115">
        <v>0.25</v>
      </c>
      <c r="AE58" s="146">
        <f>$H$58*$B$58*AD58</f>
        <v>3242.3100000000004</v>
      </c>
      <c r="AF58" s="121">
        <f>1-SUM(Z58,AB58,AD58)</f>
        <v>0.25</v>
      </c>
      <c r="AG58" s="146">
        <f>$H$58*$B$58*AF58</f>
        <v>3242.3100000000004</v>
      </c>
      <c r="AH58" s="154">
        <f>SUM(Z58,AB58,AD58,AF58)</f>
        <v>1</v>
      </c>
      <c r="AI58" s="146">
        <f>SUM(AA58,AC58,AE58,AG58)</f>
        <v>12969.240000000002</v>
      </c>
      <c r="AJ58" s="147">
        <f>(AA58+AC58)</f>
        <v>6484.6200000000008</v>
      </c>
      <c r="AK58" s="146">
        <f>(AE58+AG58)</f>
        <v>6484.6200000000008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3.5" customHeight="1">
      <c r="A59" s="64" t="s">
        <v>138</v>
      </c>
      <c r="B59" s="103">
        <f>SUM([1]Summ!E1033)</f>
        <v>20808</v>
      </c>
      <c r="C59" s="46"/>
      <c r="D59" s="38"/>
      <c r="E59" s="26">
        <v>1</v>
      </c>
      <c r="F59" s="247">
        <v>1.1100000000000001</v>
      </c>
      <c r="G59" s="22"/>
      <c r="H59" s="24">
        <f t="shared" ref="H59:H60" si="35">(E59*F59)</f>
        <v>1.1100000000000001</v>
      </c>
      <c r="I59" s="39">
        <f>I108*I$70</f>
        <v>0</v>
      </c>
      <c r="J59" s="51">
        <f t="shared" ref="J59:J60" si="36">J108*I$70</f>
        <v>21506.830689328632</v>
      </c>
      <c r="K59" s="40">
        <f t="shared" ref="K59:K60" si="37">B59/B$63</f>
        <v>0.46686207774304395</v>
      </c>
      <c r="L59" s="22">
        <f t="shared" ref="L59:L60" si="38">(L108*G$29*F$9/F$7)/B$112</f>
        <v>0.33916047451716824</v>
      </c>
      <c r="M59" s="24">
        <f t="shared" ref="M59:M60" si="39">J59/B$63</f>
        <v>0.48254150621337116</v>
      </c>
      <c r="O59" s="2"/>
      <c r="P59" s="2"/>
      <c r="Q59" s="56"/>
      <c r="R59" s="56"/>
      <c r="S59" s="56"/>
      <c r="T59" s="56"/>
      <c r="U59" s="56"/>
      <c r="V59" s="56"/>
      <c r="W59" s="109"/>
      <c r="X59" s="117"/>
      <c r="Y59" s="109"/>
      <c r="Z59" s="115">
        <v>0.25</v>
      </c>
      <c r="AA59" s="146">
        <f t="shared" ref="AA59:AA60" si="40">$H$58*$B$58*Z59</f>
        <v>3242.3100000000004</v>
      </c>
      <c r="AB59" s="115">
        <v>0.25</v>
      </c>
      <c r="AC59" s="146">
        <f t="shared" ref="AC59:AC60" si="41">$H$58*$B$58*AB59</f>
        <v>3242.3100000000004</v>
      </c>
      <c r="AD59" s="115">
        <v>0.25</v>
      </c>
      <c r="AE59" s="146">
        <f t="shared" ref="AE59:AE60" si="42">$H$58*$B$58*AD59</f>
        <v>3242.3100000000004</v>
      </c>
      <c r="AF59" s="121"/>
      <c r="AG59" s="146">
        <f t="shared" ref="AG59:AG60" si="43">$H$58*$B$58*AF59</f>
        <v>0</v>
      </c>
      <c r="AH59" s="154"/>
      <c r="AI59" s="146"/>
      <c r="AJ59" s="147"/>
      <c r="AK59" s="146"/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3.5" customHeight="1">
      <c r="A60" s="64" t="s">
        <v>139</v>
      </c>
      <c r="B60" s="103">
        <f>SUM([1]Summ!E1034)</f>
        <v>2495</v>
      </c>
      <c r="C60" s="46"/>
      <c r="D60" s="38"/>
      <c r="E60" s="26">
        <v>1</v>
      </c>
      <c r="F60" s="247">
        <v>1.1100000000000001</v>
      </c>
      <c r="G60" s="22"/>
      <c r="H60" s="24">
        <f t="shared" si="35"/>
        <v>1.1100000000000001</v>
      </c>
      <c r="I60" s="39">
        <f>I109*I$70</f>
        <v>0</v>
      </c>
      <c r="J60" s="51">
        <f t="shared" si="36"/>
        <v>0</v>
      </c>
      <c r="K60" s="40">
        <f t="shared" si="37"/>
        <v>5.5979473470246767E-2</v>
      </c>
      <c r="L60" s="22">
        <f t="shared" si="38"/>
        <v>0</v>
      </c>
      <c r="M60" s="24">
        <f t="shared" si="39"/>
        <v>0</v>
      </c>
      <c r="O60" s="2"/>
      <c r="P60" s="2"/>
      <c r="Q60" s="56"/>
      <c r="R60" s="56"/>
      <c r="S60" s="56"/>
      <c r="T60" s="56"/>
      <c r="U60" s="56"/>
      <c r="V60" s="56"/>
      <c r="W60" s="109"/>
      <c r="X60" s="117"/>
      <c r="Y60" s="109"/>
      <c r="Z60" s="115">
        <v>0.25</v>
      </c>
      <c r="AA60" s="146">
        <f t="shared" si="40"/>
        <v>3242.3100000000004</v>
      </c>
      <c r="AB60" s="115">
        <v>0.25</v>
      </c>
      <c r="AC60" s="146">
        <f t="shared" si="41"/>
        <v>3242.3100000000004</v>
      </c>
      <c r="AD60" s="115">
        <v>0.25</v>
      </c>
      <c r="AE60" s="146">
        <f t="shared" si="42"/>
        <v>3242.3100000000004</v>
      </c>
      <c r="AF60" s="121"/>
      <c r="AG60" s="146">
        <f t="shared" si="43"/>
        <v>0</v>
      </c>
      <c r="AH60" s="154"/>
      <c r="AI60" s="146"/>
      <c r="AJ60" s="147"/>
      <c r="AK60" s="146"/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1" t="s">
        <v>136</v>
      </c>
      <c r="B61" s="52">
        <f>B22*B70</f>
        <v>4500.0000000000009</v>
      </c>
      <c r="C61" s="46"/>
      <c r="D61" s="38"/>
      <c r="E61" s="32"/>
      <c r="F61" s="32"/>
      <c r="G61" s="32"/>
      <c r="H61" s="31"/>
      <c r="I61" s="39">
        <f>I110*I$70</f>
        <v>23428.06092968108</v>
      </c>
      <c r="J61" s="51">
        <f>J110*I$70</f>
        <v>1921.2302403524441</v>
      </c>
      <c r="K61" s="40">
        <f>B61/B$63</f>
        <v>0.10096498221086593</v>
      </c>
      <c r="L61" s="22">
        <f>(L110*G$29*F$9/F$7)/B$112</f>
        <v>0.10663321637354992</v>
      </c>
      <c r="M61" s="24">
        <f>J61/B$63</f>
        <v>4.3105994897813811E-2</v>
      </c>
      <c r="O61" s="2"/>
      <c r="P61" s="2"/>
      <c r="Q61" s="56"/>
      <c r="R61" s="56"/>
      <c r="S61" s="56"/>
      <c r="T61" s="56"/>
      <c r="U61" s="56"/>
      <c r="V61" s="56"/>
      <c r="W61" s="109"/>
      <c r="X61" s="117"/>
      <c r="Y61" s="109"/>
      <c r="Z61" s="155"/>
      <c r="AA61" s="146">
        <f>AA22*$I$70/4</f>
        <v>0</v>
      </c>
      <c r="AB61" s="155"/>
      <c r="AC61" s="146">
        <f>AC22*$I$70/4</f>
        <v>0</v>
      </c>
      <c r="AD61" s="155"/>
      <c r="AE61" s="146">
        <f>AE22*$I$70/4</f>
        <v>0</v>
      </c>
      <c r="AF61" s="155"/>
      <c r="AG61" s="146">
        <f>AG22*$I$70/4</f>
        <v>10.526960668384572</v>
      </c>
      <c r="AH61" s="154"/>
      <c r="AI61" s="146">
        <f>SUM(AA61,AC61,AE61,AG61)</f>
        <v>10.526960668384572</v>
      </c>
      <c r="AJ61" s="147">
        <f>(AA61+AC61)</f>
        <v>0</v>
      </c>
      <c r="AK61" s="146">
        <f>(AE61+AG61)</f>
        <v>10.526960668384572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1" t="s">
        <v>57</v>
      </c>
      <c r="B62" s="52">
        <f>B63-B57-B58-B59-B60-B61</f>
        <v>-8394.3366850154634</v>
      </c>
      <c r="C62" s="46"/>
      <c r="D62" s="38"/>
      <c r="E62" s="32"/>
      <c r="F62" s="32"/>
      <c r="G62" s="32"/>
      <c r="H62" s="31"/>
      <c r="I62" s="47"/>
      <c r="J62" s="51">
        <f>J111*I$70</f>
        <v>2.6681364442674E-12</v>
      </c>
      <c r="K62" s="40">
        <f>B62/B$63</f>
        <v>-0.18834090090546787</v>
      </c>
      <c r="L62" s="22">
        <f>(L111*G$29*F$9/F$7)/B$112</f>
        <v>-5.9864077473693578E-17</v>
      </c>
      <c r="M62" s="24">
        <f>J62/B$63</f>
        <v>5.9864077473693565E-17</v>
      </c>
      <c r="N62" s="56"/>
      <c r="O62" s="2"/>
      <c r="P62" s="2"/>
      <c r="Q62" s="56"/>
      <c r="R62" s="56"/>
      <c r="S62" s="56"/>
      <c r="T62" s="56"/>
      <c r="U62" s="56"/>
      <c r="V62" s="56"/>
      <c r="W62" s="109"/>
      <c r="X62" s="156"/>
      <c r="Y62" s="160" t="s">
        <v>106</v>
      </c>
      <c r="Z62" s="157"/>
      <c r="AA62" s="148">
        <f>AA66-AA61</f>
        <v>19506.429832562804</v>
      </c>
      <c r="AB62" s="157"/>
      <c r="AC62" s="148">
        <f>AA62+AC52-SUM(AC57,AC61)</f>
        <v>27946.601900787748</v>
      </c>
      <c r="AD62" s="157"/>
      <c r="AE62" s="148">
        <f>AC62+AE52-SUM(AE57,AE61)</f>
        <v>36386.773969012691</v>
      </c>
      <c r="AF62" s="157"/>
      <c r="AG62" s="148">
        <f>IF(SUM(AG6:AG21)+((AG52-AG57-$J$62)*4/I$70)&lt;1,0,AG52-AG57-$J$62-(1-SUM(AG6:AG21))*I$70/4)</f>
        <v>11066.257764337857</v>
      </c>
      <c r="AH62" s="133"/>
      <c r="AI62" s="148">
        <f>AI63-SUM(AI57,AI61)</f>
        <v>36386.773969012691</v>
      </c>
      <c r="AJ62" s="150">
        <f>AJ63-SUM(AJ57,AJ61)</f>
        <v>16880.34413644989</v>
      </c>
      <c r="AK62" s="148">
        <f>AJ62+AK63-SUM(AK57,AK61)</f>
        <v>36386.773969012698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 thickBot="1">
      <c r="A63" s="1" t="s">
        <v>33</v>
      </c>
      <c r="B63" s="52">
        <f>B52</f>
        <v>44569.908313376669</v>
      </c>
      <c r="C63" s="46"/>
      <c r="D63" s="38"/>
      <c r="E63" s="32"/>
      <c r="F63" s="32"/>
      <c r="G63" s="32"/>
      <c r="H63" s="31"/>
      <c r="I63" s="39">
        <f>I112*I$70</f>
        <v>51761.360227848112</v>
      </c>
      <c r="J63" s="51">
        <f>J112*I$70</f>
        <v>51761.360227848112</v>
      </c>
      <c r="K63" s="40">
        <f>SUM(K57:K62)</f>
        <v>1</v>
      </c>
      <c r="L63" s="22">
        <f>SUM(L57:L62)</f>
        <v>1.0814983708050678</v>
      </c>
      <c r="M63" s="24">
        <f>SUM(M57:M62)</f>
        <v>1.1613521810255347</v>
      </c>
      <c r="O63" s="2"/>
      <c r="P63" s="2"/>
      <c r="Q63" s="56"/>
      <c r="R63" s="56"/>
      <c r="S63" s="56"/>
      <c r="T63" s="56"/>
      <c r="U63" s="56"/>
      <c r="V63" s="56"/>
      <c r="W63" s="109"/>
      <c r="X63" s="190"/>
      <c r="Y63" s="190"/>
      <c r="Z63" s="136"/>
      <c r="AA63" s="153">
        <f>AA52</f>
        <v>12281.186892766702</v>
      </c>
      <c r="AB63" s="136"/>
      <c r="AC63" s="152">
        <f>AC52</f>
        <v>12281.186892766702</v>
      </c>
      <c r="AD63" s="136"/>
      <c r="AE63" s="152">
        <f>AE52</f>
        <v>12281.186892766702</v>
      </c>
      <c r="AF63" s="136"/>
      <c r="AG63" s="152">
        <f>AG52</f>
        <v>14917.799549548001</v>
      </c>
      <c r="AH63" s="136"/>
      <c r="AI63" s="152">
        <f>SUM(AA63,AC63,AE63,AG63)</f>
        <v>51761.360227848105</v>
      </c>
      <c r="AJ63" s="153">
        <f>SUM(AA63,AC63)</f>
        <v>24562.373785533404</v>
      </c>
      <c r="AK63" s="153">
        <f>SUM(AE63,AG63)</f>
        <v>27198.986442314701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 thickBot="1">
      <c r="A64" s="98" t="s">
        <v>38</v>
      </c>
      <c r="B64" s="52"/>
      <c r="C64" s="46"/>
      <c r="D64" s="38"/>
      <c r="E64" s="32"/>
      <c r="F64" s="32"/>
      <c r="G64" s="32"/>
      <c r="H64" s="31"/>
      <c r="I64" s="39">
        <f>I113*I$70</f>
        <v>25866.330000000013</v>
      </c>
      <c r="J64" s="99">
        <f>J113*I$70</f>
        <v>4359.4993106713737</v>
      </c>
      <c r="K64" s="40"/>
      <c r="L64" s="22">
        <f>-(L113*G$29*F$9/F$7)/B$112</f>
        <v>-0.24119364732958481</v>
      </c>
      <c r="M64" s="24">
        <f>-J64/B$63</f>
        <v>-9.7812615633381658E-2</v>
      </c>
      <c r="O64" s="2"/>
      <c r="P64" s="2"/>
      <c r="Q64" s="56"/>
      <c r="R64" s="56"/>
      <c r="S64" s="56"/>
      <c r="T64" s="56"/>
      <c r="U64" s="56"/>
      <c r="V64" s="56"/>
      <c r="W64" s="109"/>
      <c r="X64" s="109"/>
      <c r="Y64" s="160" t="s">
        <v>104</v>
      </c>
      <c r="Z64" s="158"/>
      <c r="AA64" s="110">
        <f>AA23*$I$70/4</f>
        <v>0</v>
      </c>
      <c r="AB64" s="111"/>
      <c r="AC64" s="110">
        <f>AC23*$I$70/4</f>
        <v>0</v>
      </c>
      <c r="AD64" s="111"/>
      <c r="AE64" s="110">
        <f>AE23*$I$70/4</f>
        <v>0</v>
      </c>
      <c r="AF64" s="111"/>
      <c r="AG64" s="110">
        <f>AG23*$I$70/4</f>
        <v>0</v>
      </c>
      <c r="AH64" s="109"/>
      <c r="AI64" s="153">
        <f>SUM(AA64,AC64,AE64,AG64)</f>
        <v>0</v>
      </c>
      <c r="AJ64" s="152">
        <f>SUM(AA64,AC64)</f>
        <v>0</v>
      </c>
      <c r="AK64" s="159">
        <f>SUM(AE64,AG64)</f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53" t="s">
        <v>39</v>
      </c>
      <c r="B65" s="46"/>
      <c r="C65" s="46"/>
      <c r="D65" s="38"/>
      <c r="E65" s="32"/>
      <c r="F65" s="32"/>
      <c r="G65" s="32"/>
      <c r="H65" s="31"/>
      <c r="I65" s="47"/>
      <c r="J65" s="48"/>
      <c r="K65" s="32"/>
      <c r="L65" s="32"/>
      <c r="M65" s="48"/>
      <c r="N65" s="2"/>
      <c r="O65" s="2"/>
      <c r="P65" s="2"/>
      <c r="Q65" s="56"/>
      <c r="R65" s="56"/>
      <c r="S65" s="56"/>
      <c r="T65" s="56"/>
      <c r="U65" s="56"/>
      <c r="V65" s="56"/>
      <c r="W65" s="109"/>
      <c r="X65" s="109"/>
      <c r="Y65" s="160" t="s">
        <v>105</v>
      </c>
      <c r="Z65" s="109"/>
      <c r="AA65" s="111">
        <f>IF(SUM(AG6:AG21)+((AG52-AG57-$J$62)*4/I$70)&lt;1,0,AG52-AG57-$J$62-(1-SUM(AG6:AG21))*I$70/4)</f>
        <v>11066.257764337857</v>
      </c>
      <c r="AB65" s="111"/>
      <c r="AC65" s="111">
        <f>IF(AA62&lt;0,0,AA62)</f>
        <v>19506.429832562804</v>
      </c>
      <c r="AD65" s="111"/>
      <c r="AE65" s="111">
        <f>AC62</f>
        <v>27946.601900787748</v>
      </c>
      <c r="AF65" s="111"/>
      <c r="AG65" s="111">
        <f>AE62</f>
        <v>36386.773969012691</v>
      </c>
      <c r="AH65" s="109"/>
      <c r="AI65" s="145"/>
      <c r="AJ65" s="109"/>
      <c r="AK65" s="145"/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4" customHeight="1">
      <c r="A66" s="46" t="s">
        <v>40</v>
      </c>
      <c r="B66" s="232" t="str">
        <f>[1]Summ!E1037</f>
        <v>maize</v>
      </c>
      <c r="C66" s="46"/>
      <c r="D66" s="38"/>
      <c r="E66" s="32"/>
      <c r="F66" s="32"/>
      <c r="G66" s="32"/>
      <c r="H66" s="31"/>
      <c r="I66" s="47"/>
      <c r="J66" s="48"/>
      <c r="K66" s="32"/>
      <c r="L66" s="32"/>
      <c r="M66" s="48"/>
      <c r="N66" s="32"/>
      <c r="O66" s="2"/>
      <c r="P66" s="2"/>
      <c r="Q66" s="56"/>
      <c r="R66" s="56"/>
      <c r="S66" s="56"/>
      <c r="T66" s="56"/>
      <c r="U66" s="56"/>
      <c r="V66" s="56"/>
      <c r="W66" s="109"/>
      <c r="X66" s="109"/>
      <c r="Y66" s="160" t="s">
        <v>65</v>
      </c>
      <c r="Z66" s="109"/>
      <c r="AA66" s="111">
        <f>AA52-AA57+IF(SUM(AG6:AG21)+((AG52-AG57-$J$62)*4/I$70)&lt;1,0,AG52-AG57-$J$62-(1-SUM(AG6:AG21))*I$70/4)</f>
        <v>19506.429832562804</v>
      </c>
      <c r="AB66" s="111"/>
      <c r="AC66" s="111">
        <f>AA66-AA61+AC52-AC57</f>
        <v>27946.601900787748</v>
      </c>
      <c r="AD66" s="111"/>
      <c r="AE66" s="111">
        <f>AC66-AC61+AE52-AE57</f>
        <v>36386.773969012691</v>
      </c>
      <c r="AF66" s="111"/>
      <c r="AG66" s="111">
        <f>AE66-AE61+AG52-AG57</f>
        <v>47463.558694018931</v>
      </c>
      <c r="AH66" s="109"/>
      <c r="AI66" s="145"/>
      <c r="AJ66" s="109"/>
      <c r="AK66" s="145"/>
      <c r="AS66" s="25"/>
      <c r="AT66" s="25"/>
      <c r="AU66" s="25"/>
      <c r="AV66" s="25"/>
      <c r="AW66" s="25"/>
      <c r="AX66" s="25"/>
      <c r="AZ66" s="25"/>
      <c r="BA66" s="25"/>
      <c r="BB66" s="25"/>
      <c r="BC66" s="25"/>
      <c r="BD66" s="25"/>
      <c r="BE66" s="25"/>
      <c r="BI66" s="25"/>
      <c r="BJ66" s="25"/>
      <c r="BK66" s="25"/>
      <c r="BL66" s="25"/>
      <c r="BM66" s="25"/>
      <c r="BN66" s="25"/>
      <c r="BP66" s="25"/>
      <c r="BQ66" s="25"/>
      <c r="BR66" s="25"/>
      <c r="BS66" s="25"/>
      <c r="BT66" s="25"/>
      <c r="BU66" s="25"/>
      <c r="BX66" s="25"/>
      <c r="BY66" s="25"/>
      <c r="BZ66" s="25"/>
      <c r="CA66" s="25"/>
      <c r="CB66" s="25"/>
      <c r="CC66" s="25"/>
      <c r="CE66" s="25"/>
      <c r="CF66" s="25"/>
      <c r="CG66" s="25"/>
      <c r="CH66" s="25"/>
      <c r="CI66" s="25"/>
      <c r="CJ66" s="25"/>
    </row>
    <row r="67" spans="1:88" ht="14" customHeight="1">
      <c r="A67" s="46" t="s">
        <v>41</v>
      </c>
      <c r="B67" s="232">
        <f>[1]Summ!E1038</f>
        <v>0.58061985920496251</v>
      </c>
      <c r="C67" s="46"/>
      <c r="D67" s="38"/>
      <c r="E67" s="32"/>
      <c r="F67" s="32"/>
      <c r="G67" s="32"/>
      <c r="H67" s="31"/>
      <c r="I67" s="47"/>
      <c r="J67" s="48"/>
      <c r="K67" s="32"/>
      <c r="L67" s="32"/>
      <c r="M67" s="48"/>
      <c r="N67" s="32"/>
      <c r="O67" s="2"/>
      <c r="P67" s="2"/>
      <c r="Q67" s="56"/>
      <c r="R67" s="56"/>
      <c r="S67" s="56"/>
      <c r="T67" s="56"/>
      <c r="U67" s="56"/>
      <c r="V67" s="56"/>
      <c r="W67" s="109"/>
      <c r="X67" s="109"/>
      <c r="Y67" s="160"/>
      <c r="Z67" s="109"/>
      <c r="AA67" s="109"/>
      <c r="AB67" s="109"/>
      <c r="AC67" s="109"/>
      <c r="AD67" s="109"/>
      <c r="AE67" s="109"/>
      <c r="AF67" s="109"/>
      <c r="AG67" s="109"/>
      <c r="AH67" s="109"/>
      <c r="AI67" s="145"/>
      <c r="AJ67" s="109"/>
      <c r="AK67" s="145"/>
      <c r="AS67" s="25"/>
      <c r="AT67" s="25"/>
      <c r="AU67" s="25"/>
      <c r="AV67" s="25"/>
      <c r="AW67" s="25"/>
      <c r="AX67" s="25"/>
      <c r="AZ67" s="25"/>
      <c r="BA67" s="25"/>
      <c r="BB67" s="25"/>
      <c r="BC67" s="25"/>
      <c r="BD67" s="25"/>
      <c r="BE67" s="25"/>
      <c r="BI67" s="25"/>
      <c r="BJ67" s="25"/>
      <c r="BK67" s="25"/>
      <c r="BL67" s="25"/>
      <c r="BM67" s="25"/>
      <c r="BN67" s="25"/>
      <c r="BP67" s="25"/>
      <c r="BQ67" s="25"/>
      <c r="BR67" s="25"/>
      <c r="BS67" s="25"/>
      <c r="BT67" s="25"/>
      <c r="BU67" s="25"/>
      <c r="BX67" s="25"/>
      <c r="BY67" s="25"/>
      <c r="BZ67" s="25"/>
      <c r="CA67" s="25"/>
      <c r="CB67" s="25"/>
      <c r="CC67" s="25"/>
      <c r="CE67" s="25"/>
      <c r="CF67" s="25"/>
      <c r="CG67" s="25"/>
      <c r="CH67" s="25"/>
      <c r="CI67" s="25"/>
      <c r="CJ67" s="25"/>
    </row>
    <row r="68" spans="1:88" ht="14" customHeight="1">
      <c r="A68" s="46" t="s">
        <v>42</v>
      </c>
      <c r="B68" s="232">
        <f>[1]Summ!E1039</f>
        <v>6</v>
      </c>
      <c r="C68" s="46"/>
      <c r="D68" s="38"/>
      <c r="E68" s="32"/>
      <c r="F68" s="32"/>
      <c r="G68" s="32"/>
      <c r="H68" s="31"/>
      <c r="I68" s="47"/>
      <c r="J68" s="48"/>
      <c r="K68" s="32"/>
      <c r="L68" s="32"/>
      <c r="M68" s="48"/>
      <c r="N68" s="32"/>
      <c r="O68" s="2"/>
      <c r="P68" s="2"/>
      <c r="Q68" s="56"/>
      <c r="R68" s="56"/>
      <c r="S68" s="56"/>
      <c r="T68" s="56"/>
      <c r="U68" s="56"/>
      <c r="V68" s="56"/>
      <c r="W68" s="109"/>
      <c r="X68" s="109"/>
      <c r="Y68" s="160"/>
      <c r="Z68" s="142" t="s">
        <v>66</v>
      </c>
      <c r="AA68" s="158"/>
      <c r="AB68" s="158"/>
      <c r="AC68" s="158"/>
      <c r="AD68" s="158"/>
      <c r="AE68" s="158"/>
      <c r="AF68" s="158"/>
      <c r="AG68" s="143"/>
      <c r="AH68" s="113" t="s">
        <v>67</v>
      </c>
      <c r="AI68" s="145"/>
      <c r="AJ68" s="109"/>
      <c r="AK68" s="145"/>
      <c r="AS68" s="25"/>
      <c r="AT68" s="25"/>
      <c r="AU68" s="25"/>
      <c r="AV68" s="25"/>
      <c r="AW68" s="25"/>
      <c r="AX68" s="25"/>
      <c r="AZ68" s="25"/>
      <c r="BA68" s="25"/>
      <c r="BB68" s="25"/>
      <c r="BC68" s="25"/>
      <c r="BD68" s="25"/>
      <c r="BE68" s="25"/>
      <c r="BI68" s="25"/>
      <c r="BJ68" s="25"/>
      <c r="BK68" s="25"/>
      <c r="BL68" s="25"/>
      <c r="BM68" s="25"/>
      <c r="BN68" s="25"/>
      <c r="BP68" s="25"/>
      <c r="BQ68" s="25"/>
      <c r="BR68" s="25"/>
      <c r="BS68" s="25"/>
      <c r="BT68" s="25"/>
      <c r="BU68" s="25"/>
      <c r="BX68" s="25"/>
      <c r="BY68" s="25"/>
      <c r="BZ68" s="25"/>
      <c r="CA68" s="25"/>
      <c r="CB68" s="25"/>
      <c r="CC68" s="25"/>
      <c r="CE68" s="25"/>
      <c r="CF68" s="25"/>
      <c r="CG68" s="25"/>
      <c r="CH68" s="25"/>
      <c r="CI68" s="25"/>
      <c r="CJ68" s="25"/>
    </row>
    <row r="69" spans="1:88" ht="14" customHeight="1">
      <c r="A69" s="46" t="s">
        <v>43</v>
      </c>
      <c r="B69" s="232">
        <f>[1]Summ!E1040</f>
        <v>5.625</v>
      </c>
      <c r="C69" s="46"/>
      <c r="D69" s="38"/>
      <c r="E69" s="32"/>
      <c r="F69" s="32"/>
      <c r="G69" s="32"/>
      <c r="H69" s="31"/>
      <c r="I69" s="47"/>
      <c r="J69" s="48"/>
      <c r="K69" s="32"/>
      <c r="L69" s="32"/>
      <c r="M69" s="48"/>
      <c r="N69" s="32"/>
      <c r="O69" s="2"/>
      <c r="P69" s="2"/>
      <c r="Q69" s="56"/>
      <c r="R69" s="56"/>
      <c r="S69" s="56"/>
      <c r="T69" s="56"/>
      <c r="U69" s="56"/>
      <c r="V69" s="56"/>
      <c r="X69" s="109"/>
      <c r="Y69" s="160" t="s">
        <v>68</v>
      </c>
      <c r="Z69" s="161">
        <f>IF($AH$69=0,0,AA69/$AH$69)</f>
        <v>1</v>
      </c>
      <c r="AA69" s="162">
        <f>$B69*1.12</f>
        <v>6.3000000000000007</v>
      </c>
      <c r="AB69" s="161">
        <f>IF($AH$69=0,0,AC69/$AH$69)</f>
        <v>1</v>
      </c>
      <c r="AC69" s="162">
        <f>$B69*1.12</f>
        <v>6.3000000000000007</v>
      </c>
      <c r="AD69" s="161">
        <f>IF($AH$69=0,0,AE69/$AH$69)</f>
        <v>1</v>
      </c>
      <c r="AE69" s="162">
        <f>$B69*1.12</f>
        <v>6.3000000000000007</v>
      </c>
      <c r="AF69" s="161">
        <f>IF($AH$69=0,0,AG69/$AH$69)</f>
        <v>1</v>
      </c>
      <c r="AG69" s="162">
        <f>$B69*1.12</f>
        <v>6.3000000000000007</v>
      </c>
      <c r="AH69" s="163">
        <f>IF(PRODUCT(AA69,AC69,AE69,AG69)=0,0,SUM(AA69,AC69,AE69,AG69)/4)</f>
        <v>6.3000000000000007</v>
      </c>
      <c r="AI69" s="145"/>
      <c r="AJ69" s="109"/>
      <c r="AK69" s="145"/>
      <c r="AS69" s="25"/>
      <c r="AT69" s="25"/>
      <c r="AU69" s="25"/>
      <c r="AV69" s="25"/>
      <c r="AW69" s="25"/>
      <c r="AX69" s="25"/>
      <c r="AZ69" s="25"/>
      <c r="BA69" s="25"/>
      <c r="BB69" s="25"/>
      <c r="BC69" s="25"/>
      <c r="BD69" s="25"/>
      <c r="BE69" s="25"/>
      <c r="BI69" s="25"/>
      <c r="BJ69" s="25"/>
      <c r="BK69" s="25"/>
      <c r="BL69" s="25"/>
      <c r="BM69" s="25"/>
      <c r="BN69" s="25"/>
      <c r="BP69" s="25"/>
      <c r="BQ69" s="25"/>
      <c r="BR69" s="25"/>
      <c r="BS69" s="25"/>
      <c r="BT69" s="25"/>
      <c r="BU69" s="25"/>
      <c r="BX69" s="25"/>
      <c r="BY69" s="25"/>
      <c r="BZ69" s="25"/>
      <c r="CA69" s="25"/>
      <c r="CB69" s="25"/>
      <c r="CC69" s="25"/>
      <c r="CE69" s="25"/>
      <c r="CF69" s="25"/>
      <c r="CG69" s="25"/>
      <c r="CH69" s="25"/>
      <c r="CI69" s="25"/>
      <c r="CJ69" s="25"/>
    </row>
    <row r="70" spans="1:88" ht="14" customHeight="1">
      <c r="A70" s="46" t="s">
        <v>44</v>
      </c>
      <c r="B70" s="46">
        <f>365*B67*B68*B69</f>
        <v>7152.5108905811321</v>
      </c>
      <c r="C70" s="46"/>
      <c r="D70" s="38"/>
      <c r="E70" s="32"/>
      <c r="F70" s="32"/>
      <c r="G70" s="32"/>
      <c r="H70" s="24">
        <f>G$29*F$9/F$7</f>
        <v>1.1200000000000001</v>
      </c>
      <c r="I70" s="39">
        <f xml:space="preserve"> B70*H70</f>
        <v>8010.8121974508686</v>
      </c>
      <c r="J70" s="48"/>
      <c r="K70" s="32"/>
      <c r="L70" s="32"/>
      <c r="M70" s="48"/>
      <c r="N70" s="32"/>
      <c r="O70" s="2"/>
      <c r="P70" s="2"/>
      <c r="Q70" s="56"/>
      <c r="R70" s="56"/>
      <c r="S70" s="56"/>
      <c r="T70" s="56"/>
      <c r="U70" s="56"/>
      <c r="V70" s="56"/>
      <c r="X70" s="109"/>
      <c r="Y70" s="160" t="s">
        <v>133</v>
      </c>
      <c r="Z70" s="109"/>
      <c r="AA70" s="164">
        <f>$I$70*Z69/4</f>
        <v>2002.7030493627171</v>
      </c>
      <c r="AB70" s="111"/>
      <c r="AC70" s="164">
        <f>$I$70*AB69/4</f>
        <v>2002.7030493627171</v>
      </c>
      <c r="AD70" s="111"/>
      <c r="AE70" s="164">
        <f>$I$70*AD69/4</f>
        <v>2002.7030493627171</v>
      </c>
      <c r="AF70" s="111"/>
      <c r="AG70" s="164">
        <f>$I$70*AF69/4</f>
        <v>2002.7030493627171</v>
      </c>
      <c r="AH70" s="164">
        <f>SUM(AA70,AC70,AE70,AG70)</f>
        <v>8010.8121974508686</v>
      </c>
      <c r="AI70" s="145"/>
      <c r="AJ70" s="109"/>
      <c r="AK70" s="145"/>
      <c r="AS70" s="25"/>
      <c r="AT70" s="25"/>
      <c r="AU70" s="25"/>
      <c r="AV70" s="25"/>
      <c r="AW70" s="25"/>
      <c r="AX70" s="25"/>
      <c r="AZ70" s="25"/>
      <c r="BA70" s="25"/>
      <c r="BB70" s="25"/>
      <c r="BC70" s="25"/>
      <c r="BD70" s="25"/>
      <c r="BE70" s="25"/>
      <c r="BI70" s="25"/>
      <c r="BJ70" s="25"/>
      <c r="BK70" s="25"/>
      <c r="BL70" s="25"/>
      <c r="BM70" s="25"/>
      <c r="BN70" s="25"/>
      <c r="BP70" s="25"/>
      <c r="BQ70" s="25"/>
      <c r="BR70" s="25"/>
      <c r="BS70" s="25"/>
      <c r="BT70" s="25"/>
      <c r="BU70" s="25"/>
      <c r="BX70" s="25"/>
      <c r="BY70" s="25"/>
      <c r="BZ70" s="25"/>
      <c r="CA70" s="25"/>
      <c r="CB70" s="25"/>
      <c r="CC70" s="25"/>
      <c r="CE70" s="25"/>
      <c r="CF70" s="25"/>
      <c r="CG70" s="25"/>
      <c r="CH70" s="25"/>
      <c r="CI70" s="25"/>
      <c r="CJ70" s="25"/>
    </row>
    <row r="71" spans="1:88" ht="14" customHeight="1" thickBot="1">
      <c r="A71" s="46" t="s">
        <v>144</v>
      </c>
      <c r="B71" s="244">
        <f>B57+((1-D21)*B70)</f>
        <v>16436.928182135824</v>
      </c>
      <c r="C71" s="46"/>
      <c r="D71" s="245"/>
      <c r="E71" s="64"/>
      <c r="F71" s="64"/>
      <c r="G71" s="64"/>
      <c r="H71" s="246">
        <f>IF(B71=0,0,I71/B71)</f>
        <v>1.1363987392888162</v>
      </c>
      <c r="I71" s="244">
        <f>(B57*H57)+((1-(D21*H21))*I70)</f>
        <v>18678.904463959963</v>
      </c>
      <c r="J71" s="48"/>
      <c r="K71" s="32"/>
      <c r="L71" s="32"/>
      <c r="M71" s="48"/>
      <c r="N71" s="32"/>
      <c r="O71" s="2"/>
      <c r="P71" s="2"/>
      <c r="Q71" s="56"/>
      <c r="R71" s="56"/>
      <c r="S71" s="56"/>
      <c r="T71" s="56"/>
      <c r="U71" s="56"/>
      <c r="V71" s="56"/>
      <c r="X71" s="109"/>
      <c r="Y71" s="160"/>
      <c r="Z71" s="109"/>
      <c r="AA71" s="109"/>
      <c r="AB71" s="109"/>
      <c r="AC71" s="109"/>
      <c r="AD71" s="109"/>
      <c r="AE71" s="109"/>
      <c r="AF71" s="109"/>
      <c r="AG71" s="109"/>
      <c r="AH71" s="109"/>
      <c r="AI71" s="145"/>
      <c r="AJ71" s="109"/>
      <c r="AK71" s="145"/>
      <c r="AS71" s="25"/>
      <c r="AT71" s="25"/>
      <c r="AU71" s="25"/>
      <c r="AV71" s="25"/>
      <c r="AW71" s="25"/>
      <c r="AX71" s="25"/>
      <c r="AZ71" s="25"/>
      <c r="BA71" s="25"/>
      <c r="BB71" s="25"/>
      <c r="BC71" s="25"/>
      <c r="BD71" s="25"/>
      <c r="BE71" s="25"/>
      <c r="BI71" s="25"/>
      <c r="BJ71" s="25"/>
      <c r="BK71" s="25"/>
      <c r="BL71" s="25"/>
      <c r="BM71" s="25"/>
      <c r="BN71" s="25"/>
      <c r="BP71" s="25"/>
      <c r="BQ71" s="25"/>
      <c r="BR71" s="25"/>
      <c r="BS71" s="25"/>
      <c r="BT71" s="25"/>
      <c r="BU71" s="25"/>
      <c r="BX71" s="25"/>
      <c r="BY71" s="25"/>
      <c r="BZ71" s="25"/>
      <c r="CA71" s="25"/>
      <c r="CB71" s="25"/>
      <c r="CC71" s="25"/>
      <c r="CE71" s="25"/>
      <c r="CF71" s="25"/>
      <c r="CG71" s="25"/>
      <c r="CH71" s="25"/>
      <c r="CI71" s="25"/>
      <c r="CJ71" s="25"/>
    </row>
    <row r="72" spans="1:88" ht="14" customHeight="1" thickBot="1">
      <c r="A72" s="46" t="s">
        <v>45</v>
      </c>
      <c r="B72" s="46"/>
      <c r="C72" s="46"/>
      <c r="D72" s="38"/>
      <c r="E72" s="32"/>
      <c r="F72" s="32"/>
      <c r="G72" s="32"/>
      <c r="H72" s="31"/>
      <c r="I72" s="47"/>
      <c r="J72" s="48"/>
      <c r="K72" s="32"/>
      <c r="L72" s="32"/>
      <c r="M72" s="48"/>
      <c r="N72" s="32"/>
      <c r="O72" s="2"/>
      <c r="P72" s="2"/>
      <c r="Q72" s="56"/>
      <c r="R72" s="56"/>
      <c r="S72" s="56"/>
      <c r="T72" s="56"/>
      <c r="U72" s="56"/>
      <c r="V72" s="56"/>
      <c r="X72" s="109"/>
      <c r="Y72" s="160"/>
      <c r="Z72" s="109"/>
      <c r="AA72" s="112"/>
      <c r="AB72" s="109"/>
      <c r="AC72" s="112"/>
      <c r="AD72" s="109"/>
      <c r="AE72" s="112"/>
      <c r="AF72" s="109"/>
      <c r="AG72" s="112"/>
      <c r="AH72" s="109"/>
      <c r="AI72" s="191"/>
      <c r="AJ72" s="192"/>
      <c r="AK72" s="193"/>
      <c r="AS72" s="25"/>
      <c r="AT72" s="25"/>
      <c r="AU72" s="25"/>
      <c r="AV72" s="25"/>
      <c r="AW72" s="25"/>
      <c r="AX72" s="25"/>
      <c r="AZ72" s="25"/>
      <c r="BA72" s="25"/>
      <c r="BB72" s="25"/>
      <c r="BC72" s="25"/>
      <c r="BD72" s="25"/>
      <c r="BE72" s="25"/>
      <c r="BI72" s="25"/>
      <c r="BJ72" s="25"/>
      <c r="BK72" s="25"/>
      <c r="BL72" s="25"/>
      <c r="BM72" s="25"/>
      <c r="BN72" s="25"/>
      <c r="BP72" s="25"/>
      <c r="BQ72" s="25"/>
      <c r="BR72" s="25"/>
      <c r="BS72" s="25"/>
      <c r="BT72" s="25"/>
      <c r="BU72" s="25"/>
      <c r="BX72" s="25"/>
      <c r="BY72" s="25"/>
      <c r="BZ72" s="25"/>
      <c r="CA72" s="25"/>
      <c r="CB72" s="25"/>
      <c r="CC72" s="25"/>
      <c r="CE72" s="25"/>
      <c r="CF72" s="25"/>
      <c r="CG72" s="25"/>
      <c r="CH72" s="25"/>
      <c r="CI72" s="25"/>
      <c r="CJ72" s="25"/>
    </row>
    <row r="73" spans="1:88" ht="14" customHeight="1">
      <c r="A73" s="105"/>
      <c r="B73" s="106"/>
      <c r="C73" s="46"/>
      <c r="D73" s="38"/>
      <c r="E73" s="32"/>
      <c r="F73" s="32"/>
      <c r="G73" s="32"/>
      <c r="H73" s="31"/>
      <c r="I73" s="47"/>
      <c r="J73" s="48"/>
      <c r="K73" s="32"/>
      <c r="L73" s="32"/>
      <c r="M73" s="48"/>
      <c r="N73" s="3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I73" s="79"/>
      <c r="AS73" s="25"/>
      <c r="AT73" s="25"/>
      <c r="AU73" s="25"/>
      <c r="AV73" s="25"/>
      <c r="AW73" s="25"/>
      <c r="AX73" s="25"/>
      <c r="AZ73" s="25"/>
      <c r="BA73" s="25"/>
      <c r="BB73" s="25"/>
      <c r="BC73" s="25"/>
      <c r="BD73" s="25"/>
      <c r="BE73" s="25"/>
      <c r="BI73" s="25"/>
      <c r="BJ73" s="25"/>
      <c r="BK73" s="25"/>
      <c r="BL73" s="25"/>
      <c r="BM73" s="25"/>
      <c r="BN73" s="25"/>
      <c r="BP73" s="25"/>
      <c r="BQ73" s="25"/>
      <c r="BR73" s="25"/>
      <c r="BS73" s="25"/>
      <c r="BT73" s="25"/>
      <c r="BU73" s="25"/>
      <c r="BX73" s="25"/>
      <c r="BY73" s="25"/>
      <c r="BZ73" s="25"/>
      <c r="CA73" s="25"/>
      <c r="CB73" s="25"/>
      <c r="CC73" s="25"/>
      <c r="CE73" s="25"/>
      <c r="CF73" s="25"/>
      <c r="CG73" s="25"/>
      <c r="CH73" s="25"/>
      <c r="CI73" s="25"/>
      <c r="CJ73" s="25"/>
    </row>
    <row r="74" spans="1:88" ht="14" customHeight="1">
      <c r="A74" s="39" t="s">
        <v>125</v>
      </c>
      <c r="B74" s="75">
        <f>[1]Summ!$I$815</f>
        <v>0</v>
      </c>
      <c r="C74" s="54"/>
      <c r="D74" s="12"/>
      <c r="E74" s="14"/>
      <c r="F74" s="14"/>
      <c r="G74" s="14"/>
      <c r="H74" s="12"/>
      <c r="I74" s="14"/>
      <c r="J74" s="12"/>
      <c r="K74" s="14"/>
      <c r="L74" s="14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86"/>
      <c r="AB74" s="186"/>
      <c r="AC74" s="186"/>
      <c r="AD74" s="186"/>
      <c r="AE74" s="186"/>
      <c r="AF74" s="186"/>
      <c r="AG74" s="186"/>
      <c r="AH74" s="187"/>
      <c r="AI74" s="189"/>
      <c r="AJ74" s="79"/>
      <c r="AS74" s="25"/>
      <c r="AT74" s="25"/>
      <c r="AU74" s="25"/>
      <c r="AV74" s="25"/>
      <c r="AW74" s="25"/>
      <c r="AX74" s="25"/>
      <c r="AZ74" s="25"/>
      <c r="BA74" s="25"/>
      <c r="BB74" s="25"/>
      <c r="BC74" s="25"/>
      <c r="BD74" s="25"/>
      <c r="BE74" s="25"/>
      <c r="BI74" s="25"/>
      <c r="BJ74" s="25"/>
      <c r="BK74" s="25"/>
      <c r="BL74" s="25"/>
      <c r="BM74" s="25"/>
      <c r="BN74" s="25"/>
      <c r="BP74" s="25"/>
      <c r="BQ74" s="25"/>
      <c r="BR74" s="25"/>
      <c r="BS74" s="25"/>
      <c r="BT74" s="25"/>
      <c r="BU74" s="25"/>
      <c r="BX74" s="25"/>
      <c r="BY74" s="25"/>
      <c r="BZ74" s="25"/>
      <c r="CA74" s="25"/>
      <c r="CB74" s="25"/>
      <c r="CC74" s="25"/>
      <c r="CE74" s="25"/>
      <c r="CF74" s="25"/>
      <c r="CG74" s="25"/>
      <c r="CH74" s="25"/>
      <c r="CI74" s="25"/>
      <c r="CJ74" s="25"/>
    </row>
    <row r="75" spans="1:88" ht="15.75" customHeight="1">
      <c r="A75" s="55" t="str">
        <f>A26</f>
        <v>Income : Poor HHs</v>
      </c>
      <c r="B75" s="56"/>
      <c r="C75" s="56"/>
      <c r="D75" s="31"/>
      <c r="E75" s="2"/>
      <c r="F75" s="2"/>
      <c r="G75" s="2"/>
      <c r="H75" s="17"/>
      <c r="I75" s="2"/>
      <c r="J75" s="33"/>
      <c r="M75" s="57"/>
      <c r="N75" s="58"/>
      <c r="Q75" s="2"/>
      <c r="R75" s="2"/>
      <c r="S75" s="2"/>
      <c r="T75" s="2"/>
      <c r="U75" s="2"/>
      <c r="V75" s="2"/>
      <c r="W75" s="2"/>
      <c r="X75" s="2"/>
      <c r="Y75" s="2"/>
      <c r="Z75" s="2"/>
      <c r="AA75" s="39"/>
      <c r="AB75" s="2"/>
      <c r="AC75" s="2"/>
      <c r="AD75" s="2"/>
      <c r="AE75" s="2"/>
      <c r="AF75" s="2"/>
      <c r="AG75" s="2"/>
      <c r="AI75" s="79"/>
      <c r="AS75" s="25"/>
      <c r="AT75" s="25"/>
      <c r="AU75" s="25"/>
      <c r="AV75" s="25"/>
      <c r="AW75" s="25"/>
      <c r="AX75" s="25"/>
      <c r="AZ75" s="25"/>
      <c r="BA75" s="25"/>
      <c r="BB75" s="25"/>
      <c r="BC75" s="25"/>
      <c r="BD75" s="25"/>
      <c r="BE75" s="25"/>
      <c r="BI75" s="25"/>
      <c r="BJ75" s="25"/>
      <c r="BK75" s="25"/>
      <c r="BL75" s="25"/>
      <c r="BM75" s="25"/>
      <c r="BN75" s="25"/>
      <c r="BP75" s="25"/>
      <c r="BQ75" s="25"/>
      <c r="BR75" s="25"/>
      <c r="BS75" s="25"/>
      <c r="BT75" s="25"/>
      <c r="BU75" s="25"/>
      <c r="BX75" s="25"/>
      <c r="BY75" s="25"/>
      <c r="BZ75" s="25"/>
      <c r="CA75" s="25"/>
      <c r="CB75" s="25"/>
      <c r="CC75" s="25"/>
      <c r="CE75" s="25"/>
      <c r="CF75" s="25"/>
      <c r="CG75" s="25"/>
      <c r="CH75" s="25"/>
      <c r="CI75" s="25"/>
      <c r="CJ75" s="25"/>
    </row>
    <row r="76" spans="1:88" ht="14" customHeight="1">
      <c r="A76" s="56"/>
      <c r="B76" s="59" t="s">
        <v>7</v>
      </c>
      <c r="C76" s="59" t="s">
        <v>8</v>
      </c>
      <c r="D76" s="16" t="s">
        <v>9</v>
      </c>
      <c r="H76" s="16" t="s">
        <v>12</v>
      </c>
      <c r="I76" s="19" t="s">
        <v>13</v>
      </c>
      <c r="J76" s="16" t="s">
        <v>14</v>
      </c>
      <c r="K76" s="19" t="s">
        <v>7</v>
      </c>
      <c r="L76" s="19" t="s">
        <v>15</v>
      </c>
      <c r="M76" s="57" t="str">
        <f t="shared" ref="M76:M101" si="44">(J76)</f>
        <v>Curr.</v>
      </c>
      <c r="N76" s="58"/>
      <c r="Q76" s="2"/>
      <c r="R76" s="2"/>
      <c r="S76" s="2"/>
      <c r="T76" s="2"/>
      <c r="U76" s="2"/>
      <c r="V76" s="2"/>
      <c r="W76" s="2"/>
      <c r="X76" s="2"/>
      <c r="Y76" s="2"/>
      <c r="Z76" s="2"/>
      <c r="AA76" s="39"/>
      <c r="AB76" s="2"/>
      <c r="AC76" s="39"/>
      <c r="AD76" s="2"/>
      <c r="AE76" s="39"/>
      <c r="AF76" s="2"/>
      <c r="AG76" s="39"/>
      <c r="AS76" s="25"/>
      <c r="AT76" s="25"/>
      <c r="AU76" s="25"/>
      <c r="AV76" s="25"/>
      <c r="AW76" s="25"/>
      <c r="AX76" s="25"/>
      <c r="AZ76" s="25"/>
      <c r="BA76" s="25"/>
      <c r="BB76" s="25"/>
      <c r="BC76" s="25"/>
      <c r="BD76" s="25"/>
      <c r="BE76" s="25"/>
      <c r="BI76" s="25"/>
      <c r="BJ76" s="25"/>
      <c r="BK76" s="25"/>
      <c r="BL76" s="25"/>
      <c r="BM76" s="25"/>
      <c r="BN76" s="25"/>
      <c r="BP76" s="25"/>
      <c r="BQ76" s="25"/>
      <c r="BR76" s="25"/>
      <c r="BS76" s="25"/>
      <c r="BT76" s="25"/>
      <c r="BU76" s="25"/>
      <c r="BX76" s="25"/>
      <c r="BY76" s="25"/>
      <c r="BZ76" s="25"/>
      <c r="CA76" s="25"/>
      <c r="CB76" s="25"/>
      <c r="CC76" s="25"/>
      <c r="CE76" s="25"/>
      <c r="CF76" s="25"/>
      <c r="CG76" s="25"/>
      <c r="CH76" s="25"/>
      <c r="CI76" s="25"/>
      <c r="CJ76" s="25"/>
    </row>
    <row r="77" spans="1:88" ht="14" customHeight="1">
      <c r="A77" s="56" t="s">
        <v>46</v>
      </c>
      <c r="B77" s="59" t="s">
        <v>16</v>
      </c>
      <c r="C77" s="59" t="s">
        <v>17</v>
      </c>
      <c r="D77" s="16" t="s">
        <v>16</v>
      </c>
      <c r="H77" s="16" t="s">
        <v>18</v>
      </c>
      <c r="I77" s="19" t="s">
        <v>16</v>
      </c>
      <c r="J77" s="16" t="s">
        <v>16</v>
      </c>
      <c r="K77" s="19" t="s">
        <v>16</v>
      </c>
      <c r="L77" s="19" t="s">
        <v>20</v>
      </c>
      <c r="M77" s="57" t="str">
        <f t="shared" si="44"/>
        <v>Access</v>
      </c>
      <c r="N77" s="58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39"/>
      <c r="AS77" s="25"/>
      <c r="AT77" s="25"/>
      <c r="AU77" s="25"/>
      <c r="AV77" s="25"/>
      <c r="AW77" s="25"/>
      <c r="AX77" s="25"/>
      <c r="AZ77" s="25"/>
      <c r="BA77" s="25"/>
      <c r="BB77" s="25"/>
      <c r="BC77" s="25"/>
      <c r="BD77" s="25"/>
      <c r="BE77" s="25"/>
      <c r="BI77" s="25"/>
      <c r="BJ77" s="25"/>
      <c r="BK77" s="25"/>
      <c r="BL77" s="25"/>
      <c r="BM77" s="25"/>
      <c r="BN77" s="25"/>
      <c r="BP77" s="25"/>
      <c r="BQ77" s="25"/>
      <c r="BR77" s="25"/>
      <c r="BS77" s="25"/>
      <c r="BT77" s="25"/>
      <c r="BU77" s="25"/>
      <c r="BX77" s="25"/>
      <c r="BY77" s="25"/>
      <c r="BZ77" s="25"/>
      <c r="CA77" s="25"/>
      <c r="CB77" s="25"/>
      <c r="CC77" s="25"/>
      <c r="CE77" s="25"/>
      <c r="CF77" s="25"/>
      <c r="CG77" s="25"/>
      <c r="CH77" s="25"/>
      <c r="CI77" s="25"/>
      <c r="CJ77" s="25"/>
    </row>
    <row r="78" spans="1:88" ht="14" customHeight="1">
      <c r="A78" s="56" t="str">
        <f t="shared" ref="A78:A100" si="45">IF(A29="","",A29)</f>
        <v>Pig sales: no sold</v>
      </c>
      <c r="B78" s="60">
        <f t="shared" ref="B78:C100" si="46">IF(B29="","",(B29/$B$70))</f>
        <v>0.36350870900788707</v>
      </c>
      <c r="C78" s="60">
        <f t="shared" si="46"/>
        <v>0</v>
      </c>
      <c r="D78" s="24">
        <f>SUM(B78,C78)</f>
        <v>0.36350870900788707</v>
      </c>
      <c r="H78" s="24">
        <f t="shared" ref="H78:H100" si="47">(E29*F29/G29*F$7/F$9)</f>
        <v>0.9196428571428571</v>
      </c>
      <c r="I78" s="22">
        <f t="shared" ref="I78:I100" si="48">(D78*H78)</f>
        <v>0.3342981877483247</v>
      </c>
      <c r="J78" s="24">
        <f t="shared" ref="J78:J100" si="49">IF(I$24&lt;=1+I$113,I78,L78+J$25*(I78-L78))</f>
        <v>0.3342981877483247</v>
      </c>
      <c r="K78" s="22">
        <f t="shared" ref="K78:K100" si="50">IF(B78="",0,B78)</f>
        <v>0.36350870900788707</v>
      </c>
      <c r="L78" s="22">
        <f t="shared" ref="L78:L100" si="51">(K78*H78)</f>
        <v>0.3342981877483247</v>
      </c>
      <c r="M78" s="229">
        <f t="shared" si="44"/>
        <v>0.3342981877483247</v>
      </c>
      <c r="N78" s="231">
        <v>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39"/>
      <c r="AB78" s="2"/>
      <c r="AC78" s="39"/>
      <c r="AD78" s="2"/>
      <c r="AE78" s="39"/>
      <c r="AF78" s="2"/>
      <c r="AG78" s="39"/>
      <c r="AS78" s="25"/>
      <c r="AT78" s="25"/>
      <c r="AU78" s="25"/>
      <c r="AV78" s="25"/>
      <c r="AW78" s="25"/>
      <c r="AX78" s="25"/>
      <c r="AZ78" s="25"/>
      <c r="BA78" s="25"/>
      <c r="BB78" s="25"/>
      <c r="BC78" s="25"/>
      <c r="BD78" s="25"/>
      <c r="BE78" s="25"/>
      <c r="BI78" s="25"/>
      <c r="BJ78" s="25"/>
      <c r="BK78" s="25"/>
      <c r="BL78" s="25"/>
      <c r="BM78" s="25"/>
      <c r="BN78" s="25"/>
      <c r="BP78" s="25"/>
      <c r="BQ78" s="25"/>
      <c r="BR78" s="25"/>
      <c r="BS78" s="25"/>
      <c r="BT78" s="25"/>
      <c r="BU78" s="25"/>
      <c r="BX78" s="25"/>
      <c r="BY78" s="25"/>
      <c r="BZ78" s="25"/>
      <c r="CA78" s="25"/>
      <c r="CB78" s="25"/>
      <c r="CC78" s="25"/>
      <c r="CE78" s="25"/>
      <c r="CF78" s="25"/>
      <c r="CG78" s="25"/>
      <c r="CH78" s="25"/>
      <c r="CI78" s="25"/>
      <c r="CJ78" s="25"/>
    </row>
    <row r="79" spans="1:88" ht="14" customHeight="1">
      <c r="A79" s="56" t="str">
        <f t="shared" si="45"/>
        <v>Cattle sales - local: no. sold</v>
      </c>
      <c r="B79" s="60">
        <f t="shared" si="46"/>
        <v>0</v>
      </c>
      <c r="C79" s="60">
        <f t="shared" si="46"/>
        <v>0</v>
      </c>
      <c r="D79" s="24">
        <f t="shared" ref="D79:D100" si="52">SUM(B79,C79)</f>
        <v>0</v>
      </c>
      <c r="H79" s="24">
        <f t="shared" si="47"/>
        <v>0.99107142857142871</v>
      </c>
      <c r="I79" s="22">
        <f t="shared" si="48"/>
        <v>0</v>
      </c>
      <c r="J79" s="24">
        <f t="shared" si="49"/>
        <v>0</v>
      </c>
      <c r="K79" s="22">
        <f t="shared" si="50"/>
        <v>0</v>
      </c>
      <c r="L79" s="22">
        <f t="shared" si="51"/>
        <v>0</v>
      </c>
      <c r="M79" s="229">
        <f t="shared" si="44"/>
        <v>0</v>
      </c>
      <c r="N79" s="231">
        <v>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72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56" t="str">
        <f t="shared" si="45"/>
        <v>Goat sales - local: no. sold</v>
      </c>
      <c r="B80" s="60">
        <f t="shared" si="46"/>
        <v>0</v>
      </c>
      <c r="C80" s="60">
        <f t="shared" si="46"/>
        <v>0</v>
      </c>
      <c r="D80" s="24">
        <f t="shared" si="52"/>
        <v>0</v>
      </c>
      <c r="H80" s="24">
        <f t="shared" si="47"/>
        <v>0.9732142857142857</v>
      </c>
      <c r="I80" s="22">
        <f t="shared" si="48"/>
        <v>0</v>
      </c>
      <c r="J80" s="24">
        <f t="shared" si="49"/>
        <v>0</v>
      </c>
      <c r="K80" s="22">
        <f t="shared" si="50"/>
        <v>0</v>
      </c>
      <c r="L80" s="22">
        <f t="shared" si="51"/>
        <v>0</v>
      </c>
      <c r="M80" s="229">
        <f t="shared" si="44"/>
        <v>0</v>
      </c>
      <c r="N80" s="231">
        <v>5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56" t="str">
        <f t="shared" si="45"/>
        <v>Sheep sales - local: no. sold</v>
      </c>
      <c r="B81" s="60">
        <f t="shared" si="46"/>
        <v>0</v>
      </c>
      <c r="C81" s="60">
        <f t="shared" si="46"/>
        <v>0</v>
      </c>
      <c r="D81" s="24">
        <f t="shared" si="52"/>
        <v>0</v>
      </c>
      <c r="H81" s="24">
        <f t="shared" si="47"/>
        <v>0.9732142857142857</v>
      </c>
      <c r="I81" s="22">
        <f t="shared" si="48"/>
        <v>0</v>
      </c>
      <c r="J81" s="24">
        <f t="shared" si="49"/>
        <v>0</v>
      </c>
      <c r="K81" s="22">
        <f t="shared" si="50"/>
        <v>0</v>
      </c>
      <c r="L81" s="22">
        <f t="shared" si="51"/>
        <v>0</v>
      </c>
      <c r="M81" s="229">
        <f t="shared" si="44"/>
        <v>0</v>
      </c>
      <c r="N81" s="231">
        <v>5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56" t="str">
        <f t="shared" si="45"/>
        <v>Chicken sales: no. sold</v>
      </c>
      <c r="B82" s="60">
        <f t="shared" si="46"/>
        <v>2.7682586301369862E-2</v>
      </c>
      <c r="C82" s="60">
        <f t="shared" si="46"/>
        <v>0</v>
      </c>
      <c r="D82" s="24">
        <f t="shared" si="52"/>
        <v>2.7682586301369862E-2</v>
      </c>
      <c r="H82" s="24">
        <f t="shared" si="47"/>
        <v>0.9732142857142857</v>
      </c>
      <c r="I82" s="22">
        <f t="shared" si="48"/>
        <v>2.694108845401174E-2</v>
      </c>
      <c r="J82" s="24">
        <f t="shared" si="49"/>
        <v>2.694108845401174E-2</v>
      </c>
      <c r="K82" s="22">
        <f t="shared" si="50"/>
        <v>2.7682586301369862E-2</v>
      </c>
      <c r="L82" s="22">
        <f t="shared" si="51"/>
        <v>2.694108845401174E-2</v>
      </c>
      <c r="M82" s="229">
        <f t="shared" si="44"/>
        <v>2.694108845401174E-2</v>
      </c>
      <c r="N82" s="231">
        <v>5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56" t="str">
        <f t="shared" si="45"/>
        <v>Maize: kg produced</v>
      </c>
      <c r="B83" s="60">
        <f t="shared" si="46"/>
        <v>0</v>
      </c>
      <c r="C83" s="60">
        <f t="shared" si="46"/>
        <v>0</v>
      </c>
      <c r="D83" s="24">
        <f t="shared" si="52"/>
        <v>0</v>
      </c>
      <c r="H83" s="24">
        <f t="shared" si="47"/>
        <v>0.9107142857142857</v>
      </c>
      <c r="I83" s="22">
        <f t="shared" si="48"/>
        <v>0</v>
      </c>
      <c r="J83" s="24">
        <f t="shared" si="49"/>
        <v>0</v>
      </c>
      <c r="K83" s="22">
        <f t="shared" si="50"/>
        <v>0</v>
      </c>
      <c r="L83" s="22">
        <f t="shared" si="51"/>
        <v>0</v>
      </c>
      <c r="M83" s="229">
        <f t="shared" si="44"/>
        <v>0</v>
      </c>
      <c r="N83" s="231">
        <v>2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>
      <c r="A84" s="56" t="str">
        <f t="shared" si="45"/>
        <v>Cowpeas: kg produced</v>
      </c>
      <c r="B84" s="60">
        <f t="shared" si="46"/>
        <v>0</v>
      </c>
      <c r="C84" s="60">
        <f t="shared" si="46"/>
        <v>0</v>
      </c>
      <c r="D84" s="24">
        <f t="shared" si="52"/>
        <v>0</v>
      </c>
      <c r="H84" s="24">
        <f t="shared" si="47"/>
        <v>0.89285714285714279</v>
      </c>
      <c r="I84" s="22">
        <f t="shared" si="48"/>
        <v>0</v>
      </c>
      <c r="J84" s="24">
        <f t="shared" si="49"/>
        <v>0</v>
      </c>
      <c r="K84" s="22">
        <f t="shared" si="50"/>
        <v>0</v>
      </c>
      <c r="L84" s="22">
        <f t="shared" si="51"/>
        <v>0</v>
      </c>
      <c r="M84" s="229">
        <f t="shared" si="44"/>
        <v>0</v>
      </c>
      <c r="N84" s="231">
        <v>2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>
      <c r="A85" s="56" t="str">
        <f t="shared" si="45"/>
        <v>Pumpkin: kg produce</v>
      </c>
      <c r="B85" s="60">
        <f t="shared" si="46"/>
        <v>0</v>
      </c>
      <c r="C85" s="60">
        <f t="shared" si="46"/>
        <v>0</v>
      </c>
      <c r="D85" s="24">
        <f t="shared" si="52"/>
        <v>0</v>
      </c>
      <c r="H85" s="24">
        <f t="shared" si="47"/>
        <v>0.98214285714285721</v>
      </c>
      <c r="I85" s="22">
        <f t="shared" si="48"/>
        <v>0</v>
      </c>
      <c r="J85" s="24">
        <f t="shared" si="49"/>
        <v>0</v>
      </c>
      <c r="K85" s="22">
        <f t="shared" si="50"/>
        <v>0</v>
      </c>
      <c r="L85" s="22">
        <f t="shared" si="51"/>
        <v>0</v>
      </c>
      <c r="M85" s="229">
        <f t="shared" si="44"/>
        <v>0</v>
      </c>
      <c r="N85" s="231">
        <v>2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56" t="str">
        <f t="shared" si="45"/>
        <v>Cabbage: number produced</v>
      </c>
      <c r="B86" s="60">
        <f t="shared" si="46"/>
        <v>0</v>
      </c>
      <c r="C86" s="60">
        <f t="shared" si="46"/>
        <v>0</v>
      </c>
      <c r="D86" s="24">
        <f t="shared" si="52"/>
        <v>0</v>
      </c>
      <c r="H86" s="24">
        <f t="shared" si="47"/>
        <v>0.9642857142857143</v>
      </c>
      <c r="I86" s="22">
        <f t="shared" si="48"/>
        <v>0</v>
      </c>
      <c r="J86" s="24">
        <f t="shared" si="49"/>
        <v>0</v>
      </c>
      <c r="K86" s="22">
        <f t="shared" si="50"/>
        <v>0</v>
      </c>
      <c r="L86" s="22">
        <f t="shared" si="51"/>
        <v>0</v>
      </c>
      <c r="M86" s="229">
        <f t="shared" si="44"/>
        <v>0</v>
      </c>
      <c r="N86" s="231">
        <v>2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56" t="str">
        <f t="shared" si="45"/>
        <v>Tomato: kg produced</v>
      </c>
      <c r="B87" s="60">
        <f t="shared" si="46"/>
        <v>0</v>
      </c>
      <c r="C87" s="60">
        <f t="shared" si="46"/>
        <v>0</v>
      </c>
      <c r="D87" s="24">
        <f t="shared" si="52"/>
        <v>0</v>
      </c>
      <c r="H87" s="24">
        <f t="shared" si="47"/>
        <v>0.83928571428571419</v>
      </c>
      <c r="I87" s="22">
        <f t="shared" si="48"/>
        <v>0</v>
      </c>
      <c r="J87" s="24">
        <f t="shared" si="49"/>
        <v>0</v>
      </c>
      <c r="K87" s="22">
        <f t="shared" si="50"/>
        <v>0</v>
      </c>
      <c r="L87" s="22">
        <f t="shared" si="51"/>
        <v>0</v>
      </c>
      <c r="M87" s="229">
        <f t="shared" si="44"/>
        <v>0</v>
      </c>
      <c r="N87" s="231">
        <v>2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4" customHeight="1">
      <c r="A88" s="56" t="str">
        <f t="shared" si="45"/>
        <v>Onions: kg produced</v>
      </c>
      <c r="B88" s="60">
        <f t="shared" si="46"/>
        <v>0</v>
      </c>
      <c r="C88" s="60">
        <f t="shared" si="46"/>
        <v>0</v>
      </c>
      <c r="D88" s="24">
        <f t="shared" si="52"/>
        <v>0</v>
      </c>
      <c r="H88" s="24">
        <f t="shared" si="47"/>
        <v>0.83035714285714279</v>
      </c>
      <c r="I88" s="22">
        <f t="shared" si="48"/>
        <v>0</v>
      </c>
      <c r="J88" s="24">
        <f t="shared" si="49"/>
        <v>0</v>
      </c>
      <c r="K88" s="22">
        <f t="shared" si="50"/>
        <v>0</v>
      </c>
      <c r="L88" s="22">
        <f t="shared" si="51"/>
        <v>0</v>
      </c>
      <c r="M88" s="229">
        <f t="shared" si="44"/>
        <v>0</v>
      </c>
      <c r="N88" s="231">
        <v>2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 t="str">
        <f t="shared" si="45"/>
        <v>Beetroot: kg produced</v>
      </c>
      <c r="B89" s="60">
        <f t="shared" si="46"/>
        <v>0</v>
      </c>
      <c r="C89" s="60">
        <f t="shared" si="46"/>
        <v>0</v>
      </c>
      <c r="D89" s="24">
        <f t="shared" si="52"/>
        <v>0</v>
      </c>
      <c r="H89" s="24">
        <f t="shared" si="47"/>
        <v>0.89285714285714279</v>
      </c>
      <c r="I89" s="22">
        <f t="shared" si="48"/>
        <v>0</v>
      </c>
      <c r="J89" s="24">
        <f t="shared" si="49"/>
        <v>0</v>
      </c>
      <c r="K89" s="22">
        <f>IF(B89="",0,B89)</f>
        <v>0</v>
      </c>
      <c r="L89" s="22">
        <f>(K89*H89)</f>
        <v>0</v>
      </c>
      <c r="M89" s="229">
        <f t="shared" si="44"/>
        <v>0</v>
      </c>
      <c r="N89" s="231">
        <v>2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tr">
        <f t="shared" si="45"/>
        <v>Spinach: kg produced</v>
      </c>
      <c r="B90" s="60">
        <f t="shared" si="46"/>
        <v>0</v>
      </c>
      <c r="C90" s="60">
        <f t="shared" si="46"/>
        <v>0</v>
      </c>
      <c r="D90" s="24">
        <f t="shared" si="52"/>
        <v>0</v>
      </c>
      <c r="H90" s="24">
        <f t="shared" si="47"/>
        <v>0.9196428571428571</v>
      </c>
      <c r="I90" s="22">
        <f t="shared" si="48"/>
        <v>0</v>
      </c>
      <c r="J90" s="24">
        <f t="shared" si="49"/>
        <v>0</v>
      </c>
      <c r="K90" s="22">
        <f t="shared" si="50"/>
        <v>0</v>
      </c>
      <c r="L90" s="22">
        <f t="shared" si="51"/>
        <v>0</v>
      </c>
      <c r="M90" s="229">
        <f t="shared" si="44"/>
        <v>0</v>
      </c>
      <c r="N90" s="231">
        <v>2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 t="shared" si="45"/>
        <v>WILD FOODS -- see worksheet Data 3</v>
      </c>
      <c r="B91" s="60">
        <f t="shared" si="46"/>
        <v>8.947906683271066E-2</v>
      </c>
      <c r="C91" s="60">
        <f t="shared" si="46"/>
        <v>1.5379214611872145E-2</v>
      </c>
      <c r="D91" s="24">
        <f t="shared" si="52"/>
        <v>0.10485828144458281</v>
      </c>
      <c r="H91" s="24">
        <f t="shared" si="47"/>
        <v>0.7142857142857143</v>
      </c>
      <c r="I91" s="22">
        <f t="shared" si="48"/>
        <v>7.4898772460416291E-2</v>
      </c>
      <c r="J91" s="24">
        <f t="shared" si="49"/>
        <v>7.4898772460416291E-2</v>
      </c>
      <c r="K91" s="22">
        <f t="shared" si="50"/>
        <v>8.947906683271066E-2</v>
      </c>
      <c r="L91" s="22">
        <f t="shared" si="51"/>
        <v>6.3913619166221902E-2</v>
      </c>
      <c r="M91" s="229">
        <f t="shared" si="44"/>
        <v>7.4898772460416291E-2</v>
      </c>
      <c r="N91" s="231">
        <v>6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si="45"/>
        <v>Agricultural cash income -- see Data2</v>
      </c>
      <c r="B92" s="60">
        <f t="shared" si="46"/>
        <v>0.42642367787463675</v>
      </c>
      <c r="C92" s="60">
        <f t="shared" si="46"/>
        <v>8.5284735574927356E-2</v>
      </c>
      <c r="D92" s="24">
        <f t="shared" si="52"/>
        <v>0.51170841344956408</v>
      </c>
      <c r="H92" s="24">
        <f t="shared" si="47"/>
        <v>0.86223214285714289</v>
      </c>
      <c r="I92" s="22">
        <f t="shared" si="48"/>
        <v>0.44121144184664646</v>
      </c>
      <c r="J92" s="24">
        <f t="shared" si="49"/>
        <v>0.44121144184664646</v>
      </c>
      <c r="K92" s="22">
        <f t="shared" si="50"/>
        <v>0.42642367787463675</v>
      </c>
      <c r="L92" s="22">
        <f t="shared" si="51"/>
        <v>0.36767620153887209</v>
      </c>
      <c r="M92" s="229">
        <f t="shared" si="44"/>
        <v>0.44121144184664646</v>
      </c>
      <c r="N92" s="231">
        <v>7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45"/>
        <v>Domestic work cash income -- see Data2</v>
      </c>
      <c r="B93" s="60">
        <f t="shared" si="46"/>
        <v>1.2582993773349938</v>
      </c>
      <c r="C93" s="60">
        <f t="shared" si="46"/>
        <v>0.25165987546699875</v>
      </c>
      <c r="D93" s="24">
        <f t="shared" si="52"/>
        <v>1.5099592528019925</v>
      </c>
      <c r="H93" s="24">
        <f t="shared" si="47"/>
        <v>0.98214285714285721</v>
      </c>
      <c r="I93" s="22">
        <f t="shared" si="48"/>
        <v>1.4829956947162428</v>
      </c>
      <c r="J93" s="24">
        <f t="shared" si="49"/>
        <v>1.4829956947162428</v>
      </c>
      <c r="K93" s="22">
        <f t="shared" si="50"/>
        <v>1.2582993773349938</v>
      </c>
      <c r="L93" s="22">
        <f t="shared" si="51"/>
        <v>1.235829745596869</v>
      </c>
      <c r="M93" s="57">
        <f t="shared" si="44"/>
        <v>1.4829956947162428</v>
      </c>
      <c r="N93" s="231">
        <v>7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45"/>
        <v>Formal Employment (conservancies, etc.)</v>
      </c>
      <c r="B94" s="60">
        <f t="shared" si="46"/>
        <v>0</v>
      </c>
      <c r="C94" s="60">
        <f t="shared" si="46"/>
        <v>0</v>
      </c>
      <c r="D94" s="24">
        <f t="shared" si="52"/>
        <v>0</v>
      </c>
      <c r="H94" s="24">
        <f t="shared" si="47"/>
        <v>0.95535714285714279</v>
      </c>
      <c r="I94" s="22">
        <f t="shared" si="48"/>
        <v>0</v>
      </c>
      <c r="J94" s="24">
        <f t="shared" si="49"/>
        <v>0</v>
      </c>
      <c r="K94" s="22">
        <f t="shared" si="50"/>
        <v>0</v>
      </c>
      <c r="L94" s="22">
        <f t="shared" si="51"/>
        <v>0</v>
      </c>
      <c r="M94" s="57">
        <f t="shared" si="44"/>
        <v>0</v>
      </c>
      <c r="N94" s="231">
        <v>8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45"/>
        <v>Self-employment -- see Data2</v>
      </c>
      <c r="B95" s="60">
        <f t="shared" si="46"/>
        <v>0.57322527189705275</v>
      </c>
      <c r="C95" s="60">
        <f t="shared" si="46"/>
        <v>0.11464505437941054</v>
      </c>
      <c r="D95" s="24">
        <f t="shared" si="52"/>
        <v>0.68787032627646327</v>
      </c>
      <c r="H95" s="24">
        <f t="shared" si="47"/>
        <v>0.98214285714285721</v>
      </c>
      <c r="I95" s="22">
        <f t="shared" si="48"/>
        <v>0.67558692759295502</v>
      </c>
      <c r="J95" s="24">
        <f t="shared" si="49"/>
        <v>0.67558692759295502</v>
      </c>
      <c r="K95" s="22">
        <f t="shared" si="50"/>
        <v>0.57322527189705275</v>
      </c>
      <c r="L95" s="22">
        <f t="shared" si="51"/>
        <v>0.56298910632746257</v>
      </c>
      <c r="M95" s="57">
        <f t="shared" si="44"/>
        <v>0.67558692759295502</v>
      </c>
      <c r="N95" s="231">
        <v>10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45"/>
        <v>Small business -- see Data2</v>
      </c>
      <c r="B96" s="60">
        <f t="shared" si="46"/>
        <v>0.11744127521793275</v>
      </c>
      <c r="C96" s="60">
        <f t="shared" si="46"/>
        <v>0</v>
      </c>
      <c r="D96" s="24">
        <f t="shared" si="52"/>
        <v>0.11744127521793275</v>
      </c>
      <c r="H96" s="24">
        <f t="shared" si="47"/>
        <v>0.9375</v>
      </c>
      <c r="I96" s="22">
        <f t="shared" si="48"/>
        <v>0.11010119551681195</v>
      </c>
      <c r="J96" s="24">
        <f t="shared" si="49"/>
        <v>0.11010119551681195</v>
      </c>
      <c r="K96" s="22">
        <f t="shared" si="50"/>
        <v>0.11744127521793275</v>
      </c>
      <c r="L96" s="22">
        <f t="shared" si="51"/>
        <v>0.11010119551681195</v>
      </c>
      <c r="M96" s="57">
        <f t="shared" si="44"/>
        <v>0.11010119551681195</v>
      </c>
      <c r="N96" s="231">
        <v>11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45"/>
        <v>Social Cash Transfers -- see Data2</v>
      </c>
      <c r="B97" s="60">
        <f t="shared" si="46"/>
        <v>2.7935516099232736</v>
      </c>
      <c r="C97" s="60">
        <f t="shared" si="46"/>
        <v>0</v>
      </c>
      <c r="D97" s="24">
        <f t="shared" si="52"/>
        <v>2.7935516099232736</v>
      </c>
      <c r="H97" s="24">
        <f t="shared" si="47"/>
        <v>0.99107142857142871</v>
      </c>
      <c r="I97" s="22">
        <f t="shared" si="48"/>
        <v>2.7686091848346734</v>
      </c>
      <c r="J97" s="24">
        <f t="shared" si="49"/>
        <v>2.7686091848346734</v>
      </c>
      <c r="K97" s="22">
        <f t="shared" si="50"/>
        <v>2.7935516099232736</v>
      </c>
      <c r="L97" s="22">
        <f t="shared" si="51"/>
        <v>2.7686091848346734</v>
      </c>
      <c r="M97" s="57">
        <f t="shared" si="44"/>
        <v>2.7686091848346734</v>
      </c>
      <c r="N97" s="231">
        <v>14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45"/>
        <v>Public works -- see Data2</v>
      </c>
      <c r="B98" s="60">
        <f t="shared" si="46"/>
        <v>7.8433994520547945E-2</v>
      </c>
      <c r="C98" s="60">
        <f t="shared" si="46"/>
        <v>0</v>
      </c>
      <c r="D98" s="24">
        <f t="shared" si="52"/>
        <v>7.8433994520547945E-2</v>
      </c>
      <c r="H98" s="24">
        <f t="shared" si="47"/>
        <v>0.95535714285714279</v>
      </c>
      <c r="I98" s="22">
        <f t="shared" si="48"/>
        <v>7.4932476908023474E-2</v>
      </c>
      <c r="J98" s="24">
        <f t="shared" si="49"/>
        <v>7.4932476908023474E-2</v>
      </c>
      <c r="K98" s="22">
        <f t="shared" si="50"/>
        <v>7.8433994520547945E-2</v>
      </c>
      <c r="L98" s="22">
        <f t="shared" si="51"/>
        <v>7.4932476908023474E-2</v>
      </c>
      <c r="M98" s="57">
        <f t="shared" si="44"/>
        <v>7.4932476908023474E-2</v>
      </c>
      <c r="N98" s="231">
        <v>9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45"/>
        <v>Other income: e.g. Credit (cotton loans)</v>
      </c>
      <c r="B99" s="60">
        <f t="shared" si="46"/>
        <v>0</v>
      </c>
      <c r="C99" s="60">
        <f t="shared" si="46"/>
        <v>0</v>
      </c>
      <c r="D99" s="24">
        <f t="shared" si="52"/>
        <v>0</v>
      </c>
      <c r="H99" s="24">
        <f t="shared" si="47"/>
        <v>0.89285714285714279</v>
      </c>
      <c r="I99" s="22">
        <f t="shared" si="48"/>
        <v>0</v>
      </c>
      <c r="J99" s="24">
        <f t="shared" si="49"/>
        <v>0</v>
      </c>
      <c r="K99" s="22">
        <f t="shared" si="50"/>
        <v>0</v>
      </c>
      <c r="L99" s="22">
        <f t="shared" si="51"/>
        <v>0</v>
      </c>
      <c r="M99" s="57">
        <f t="shared" si="44"/>
        <v>0</v>
      </c>
      <c r="N99" s="231">
        <v>16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45"/>
        <v>Remittances: no. times per year</v>
      </c>
      <c r="B100" s="60">
        <f t="shared" si="46"/>
        <v>0.5033197509339975</v>
      </c>
      <c r="C100" s="60">
        <f t="shared" si="46"/>
        <v>0</v>
      </c>
      <c r="D100" s="24">
        <f t="shared" si="52"/>
        <v>0.5033197509339975</v>
      </c>
      <c r="H100" s="24">
        <f t="shared" si="47"/>
        <v>0.9375</v>
      </c>
      <c r="I100" s="22">
        <f t="shared" si="48"/>
        <v>0.47186226650062268</v>
      </c>
      <c r="J100" s="24">
        <f t="shared" si="49"/>
        <v>0.47186226650062268</v>
      </c>
      <c r="K100" s="22">
        <f t="shared" si="50"/>
        <v>0.5033197509339975</v>
      </c>
      <c r="L100" s="22">
        <f t="shared" si="51"/>
        <v>0.47186226650062268</v>
      </c>
      <c r="M100" s="57">
        <f t="shared" si="44"/>
        <v>0.47186226650062268</v>
      </c>
      <c r="N100" s="231">
        <v>15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">
        <v>33</v>
      </c>
      <c r="B101" s="29">
        <f>SUM(B78:B100)</f>
        <v>6.2313653198444019</v>
      </c>
      <c r="C101" s="29">
        <f>SUM(C78:C100)</f>
        <v>0.4669688800332088</v>
      </c>
      <c r="D101" s="24">
        <f>SUM(D78:D100)</f>
        <v>6.6983341998776122</v>
      </c>
      <c r="E101" s="22"/>
      <c r="F101" s="2"/>
      <c r="G101" s="2"/>
      <c r="H101" s="31"/>
      <c r="I101" s="22">
        <f>SUM(I78:I100)</f>
        <v>6.4614372365787283</v>
      </c>
      <c r="J101" s="24">
        <f>SUM(J78:J100)</f>
        <v>6.4614372365787283</v>
      </c>
      <c r="K101" s="22">
        <f>SUM(K78:K100)</f>
        <v>6.2313653198444019</v>
      </c>
      <c r="L101" s="22">
        <f>SUM(L78:L100)</f>
        <v>6.0171530725918938</v>
      </c>
      <c r="M101" s="57">
        <f t="shared" si="44"/>
        <v>6.4614372365787283</v>
      </c>
      <c r="N101" s="58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61"/>
      <c r="B102" s="61"/>
      <c r="C102" s="61"/>
      <c r="D102" s="10"/>
      <c r="E102" s="11"/>
      <c r="F102" s="11"/>
      <c r="G102" s="11"/>
      <c r="H102" s="10"/>
      <c r="I102" s="11"/>
      <c r="J102" s="62"/>
      <c r="K102" s="14"/>
      <c r="L102" s="11"/>
      <c r="M102" s="63"/>
      <c r="N102" s="58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>
      <c r="A103" s="55" t="str">
        <f>A54</f>
        <v>Expenditure : Poor HHs</v>
      </c>
      <c r="B103" s="56"/>
      <c r="C103" s="56"/>
      <c r="D103" s="31"/>
      <c r="E103" s="2"/>
      <c r="F103" s="2"/>
      <c r="G103" s="2"/>
      <c r="H103" s="31"/>
      <c r="I103" s="22"/>
      <c r="J103" s="18"/>
      <c r="L103" s="2"/>
      <c r="M103" s="57"/>
      <c r="N103" s="58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2"/>
      <c r="AC103" s="2"/>
      <c r="AD103" s="2"/>
      <c r="AE103" s="2"/>
      <c r="AF103" s="2"/>
      <c r="AG103" s="2"/>
      <c r="AM103" s="21"/>
      <c r="AN103" s="21"/>
      <c r="AO103" s="21"/>
      <c r="AV103" s="21"/>
      <c r="AW103" s="21"/>
      <c r="AX103" s="21"/>
      <c r="BC103" s="21"/>
      <c r="BD103" s="21"/>
      <c r="BE103" s="21"/>
      <c r="BL103" s="21"/>
      <c r="BM103" s="21"/>
      <c r="BN103" s="21"/>
      <c r="BS103" s="21"/>
      <c r="BT103" s="21"/>
      <c r="BU103" s="21"/>
      <c r="CA103" s="21"/>
      <c r="CB103" s="21"/>
      <c r="CC103" s="21"/>
      <c r="CH103" s="21"/>
      <c r="CI103" s="21"/>
      <c r="CJ103" s="21"/>
    </row>
    <row r="104" spans="1:88" ht="14" customHeight="1">
      <c r="A104" s="56"/>
      <c r="B104" s="59" t="s">
        <v>7</v>
      </c>
      <c r="C104" s="56"/>
      <c r="D104" s="16"/>
      <c r="H104" s="16" t="s">
        <v>12</v>
      </c>
      <c r="I104" s="19" t="s">
        <v>13</v>
      </c>
      <c r="J104" s="16" t="s">
        <v>14</v>
      </c>
      <c r="K104" s="19" t="s">
        <v>7</v>
      </c>
      <c r="L104" s="19" t="s">
        <v>15</v>
      </c>
      <c r="M104" s="57" t="str">
        <f t="shared" ref="M104:M112" si="53">(J104)</f>
        <v>Curr.</v>
      </c>
      <c r="N104" s="58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">
        <v>46</v>
      </c>
      <c r="B105" s="59" t="s">
        <v>36</v>
      </c>
      <c r="C105" s="56"/>
      <c r="D105" s="31"/>
      <c r="H105" s="16" t="s">
        <v>18</v>
      </c>
      <c r="I105" s="19" t="s">
        <v>36</v>
      </c>
      <c r="J105" s="16" t="s">
        <v>36</v>
      </c>
      <c r="K105" s="19" t="s">
        <v>36</v>
      </c>
      <c r="L105" s="19" t="s">
        <v>20</v>
      </c>
      <c r="M105" s="57" t="str">
        <f t="shared" si="53"/>
        <v>Expend</v>
      </c>
      <c r="N105" s="5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2"/>
      <c r="AC105" s="2"/>
      <c r="AD105" s="2"/>
      <c r="AE105" s="2"/>
      <c r="AF105" s="2"/>
      <c r="AG105" s="2"/>
    </row>
    <row r="106" spans="1:88" ht="14" customHeight="1">
      <c r="A106" s="64" t="s">
        <v>135</v>
      </c>
      <c r="B106" s="60">
        <f t="shared" ref="B106:B109" si="54">B57/$B$70</f>
        <v>1.8842676655186643</v>
      </c>
      <c r="C106" s="56"/>
      <c r="D106" s="24"/>
      <c r="H106" s="24">
        <f>(E57*F57/G$29*F$7/F$9)</f>
        <v>1.0178571428571426</v>
      </c>
      <c r="I106" s="22">
        <f>IF(SUMPRODUCT($B$106:$B106,$H$106:$H106)&lt;I$101,($B106*$H106),I$101)</f>
        <v>1.9179153024029256</v>
      </c>
      <c r="J106" s="236">
        <f>IF(SUMPRODUCT($B$106:$B106,$H$106:$H106)&lt;J$101,($B106*$H106),J$101)</f>
        <v>1.9179153024029256</v>
      </c>
      <c r="K106" s="22">
        <f>(B106)</f>
        <v>1.8842676655186643</v>
      </c>
      <c r="L106" s="22">
        <f>IF(SUMPRODUCT($B$106:$B106,$H$106:$H106)&lt;L$101,($B106*$H106),L$101)</f>
        <v>1.9179153024029256</v>
      </c>
      <c r="M106" s="57">
        <f t="shared" si="53"/>
        <v>1.9179153024029256</v>
      </c>
      <c r="N106" s="58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2"/>
      <c r="AC106" s="2"/>
      <c r="AD106" s="2"/>
      <c r="AE106" s="2"/>
      <c r="AF106" s="2"/>
      <c r="AG106" s="2"/>
    </row>
    <row r="107" spans="1:88" ht="14" customHeight="1">
      <c r="A107" s="64" t="s">
        <v>137</v>
      </c>
      <c r="B107" s="60">
        <f t="shared" si="54"/>
        <v>1.6335522138646741</v>
      </c>
      <c r="C107" s="56"/>
      <c r="D107" s="24"/>
      <c r="H107" s="24">
        <f>(E58*F58/G$29*F$7/F$9)</f>
        <v>0.99107142857142871</v>
      </c>
      <c r="I107" s="22">
        <f>IF(SUMPRODUCT($B$106:$B107,$H$106:$H107)&lt;I$101,($B107*$H107),IF(SUMPRODUCT($B$106:$B106,$H$106:$H106)&lt;I$101,I$101-SUMPRODUCT($B$106:$B106,$H$106:$H106),0))</f>
        <v>1.6189669262408826</v>
      </c>
      <c r="J107" s="236">
        <f>IF(SUMPRODUCT($B$106:$B107,$H$106:$H107)&lt;J$101,($B107*$H107),IF(SUMPRODUCT($B$106:$B106,$H$106:$H106)&lt;J$101,J$101-SUMPRODUCT($B$106:$B106,$H$106:$H106),0))</f>
        <v>1.6189669262408826</v>
      </c>
      <c r="K107" s="22">
        <f>(B107)</f>
        <v>1.6335522138646741</v>
      </c>
      <c r="L107" s="22">
        <f>IF(SUMPRODUCT($B$106:$B107,$H$106:$H107)&lt;L$101,($B107*$H107),IF(SUMPRODUCT($B$106:$B106,$H$106:$H106)&lt;L$101,L$101-SUMPRODUCT($B$106:$B106,$H$106:$H106),0))</f>
        <v>1.6189669262408826</v>
      </c>
      <c r="M107" s="57">
        <f t="shared" si="53"/>
        <v>1.6189669262408826</v>
      </c>
      <c r="N107" s="58"/>
      <c r="Q107" s="2"/>
      <c r="R107" s="22"/>
      <c r="S107" s="2"/>
      <c r="T107" s="2"/>
      <c r="U107" s="2"/>
      <c r="V107" s="2"/>
      <c r="W107" s="2"/>
      <c r="X107" s="2"/>
      <c r="Y107" s="2"/>
      <c r="Z107" s="2"/>
      <c r="AA107" s="2"/>
      <c r="AB107" s="22"/>
      <c r="AC107" s="2"/>
      <c r="AD107" s="2"/>
      <c r="AE107" s="2"/>
      <c r="AF107" s="2"/>
      <c r="AG107" s="2"/>
    </row>
    <row r="108" spans="1:88" ht="14" customHeight="1">
      <c r="A108" s="64" t="s">
        <v>138</v>
      </c>
      <c r="B108" s="60">
        <f t="shared" si="54"/>
        <v>2.9091881603985055</v>
      </c>
      <c r="C108" s="56"/>
      <c r="D108" s="24"/>
      <c r="H108" s="24">
        <f t="shared" ref="H108:H109" si="55">(E59*F59/G$29*F$7/F$9)</f>
        <v>0.99107142857142871</v>
      </c>
      <c r="I108" s="22">
        <f>IF(SUMPRODUCT($B$106:$B108,$H$106:$H108)&lt;(I$101-I$110),($B108*$H108),IF(SUMPRODUCT($B$106:$B107,$H$106:$H107)&lt;(I$101-I$110),I$101-I$110-SUMPRODUCT($B$106:$B107,$H$106:$H107),0))</f>
        <v>0</v>
      </c>
      <c r="J108" s="236">
        <f>IF(SUMPRODUCT($B$106:$B108,$H$106:$H108)&lt;(J$101-J$110),($B108*$H108),IF(SUMPRODUCT($B$106:$B107,$H$106:$H107)&lt;(J$101-J$110),J$101-J$110-SUMPRODUCT($B$106:$B107,$H$106:$H107),0))</f>
        <v>2.6847253635745387</v>
      </c>
      <c r="K108" s="22">
        <f t="shared" ref="K108:K109" si="56">(B108)</f>
        <v>2.9091881603985055</v>
      </c>
      <c r="L108" s="22">
        <f>IF(SUMPRODUCT($B$106:$B108,$H$106:$H108)&lt;(L$101-L$110),($B108*$H108),IF(SUMPRODUCT($B$106:$B107,$H$106:$H107)&lt;(L$101-L$110),L$101-L$110-SUMPRODUCT($B$106:$B107,$H$106:$H107),0))</f>
        <v>1.8869935881859403</v>
      </c>
      <c r="M108" s="57">
        <f t="shared" ref="M108:M109" si="57">(J108)</f>
        <v>2.6847253635745387</v>
      </c>
      <c r="N108" s="58"/>
      <c r="Q108" s="2"/>
      <c r="R108" s="22"/>
      <c r="S108" s="2"/>
      <c r="T108" s="2"/>
      <c r="U108" s="2"/>
      <c r="V108" s="2"/>
      <c r="W108" s="2"/>
      <c r="X108" s="2"/>
      <c r="Y108" s="2"/>
      <c r="Z108" s="2"/>
      <c r="AA108" s="2"/>
      <c r="AB108" s="22"/>
      <c r="AC108" s="2"/>
      <c r="AD108" s="2"/>
      <c r="AE108" s="2"/>
      <c r="AF108" s="2"/>
      <c r="AG108" s="2"/>
    </row>
    <row r="109" spans="1:88" ht="14" customHeight="1">
      <c r="A109" s="64" t="s">
        <v>139</v>
      </c>
      <c r="B109" s="60">
        <f t="shared" si="54"/>
        <v>0.34882854960564547</v>
      </c>
      <c r="C109" s="56"/>
      <c r="D109" s="24"/>
      <c r="H109" s="24">
        <f t="shared" si="55"/>
        <v>0.99107142857142871</v>
      </c>
      <c r="I109" s="22">
        <f>IF(SUMPRODUCT($B$106:$B109,$H$106:$H109)&lt;(I$101-I$110),($B109*$H109),IF(SUMPRODUCT($B$106:$B108,$H$106:$H108)&lt;(I$101-I110),I$101-I$110-SUMPRODUCT($B$106:$B108,$H$106:$H108),0))</f>
        <v>0</v>
      </c>
      <c r="J109" s="236">
        <f>IF(SUMPRODUCT($B$106:$B109,$H$106:$H109)&lt;(J$101-J$110),($B109*$H109),IF(SUMPRODUCT($B$106:$B108,$H$106:$H108)&lt;(J$101-J110),J$101-J$110-SUMPRODUCT($B$106:$B108,$H$106:$H108),0))</f>
        <v>0</v>
      </c>
      <c r="K109" s="22">
        <f t="shared" si="56"/>
        <v>0.34882854960564547</v>
      </c>
      <c r="L109" s="22">
        <f>IF(SUMPRODUCT($B$106:$B109,$H$106:$H109)&lt;(L$101-L$110),($B109*$H109),IF(SUMPRODUCT($B$106:$B108,$H$106:$H108)&lt;(L$101-L110),L$101-L$110-SUMPRODUCT($B$106:$B108,$H$106:$H108),0))</f>
        <v>0</v>
      </c>
      <c r="M109" s="57">
        <f t="shared" si="57"/>
        <v>0</v>
      </c>
      <c r="N109" s="58"/>
      <c r="Q109" s="2"/>
      <c r="R109" s="22"/>
      <c r="S109" s="2"/>
      <c r="T109" s="2"/>
      <c r="U109" s="2"/>
      <c r="V109" s="2"/>
      <c r="W109" s="2"/>
      <c r="X109" s="2"/>
      <c r="Y109" s="2"/>
      <c r="Z109" s="2"/>
      <c r="AA109" s="2"/>
      <c r="AB109" s="22"/>
      <c r="AC109" s="2"/>
      <c r="AD109" s="2"/>
      <c r="AE109" s="2"/>
      <c r="AF109" s="2"/>
      <c r="AG109" s="2"/>
    </row>
    <row r="110" spans="1:88" ht="14" customHeight="1">
      <c r="A110" s="56" t="s">
        <v>37</v>
      </c>
      <c r="B110" s="29">
        <f>(B22)</f>
        <v>0.62914968866749699</v>
      </c>
      <c r="C110" s="56"/>
      <c r="D110" s="31"/>
      <c r="E110" s="2"/>
      <c r="F110" s="2"/>
      <c r="G110" s="2"/>
      <c r="H110" s="24"/>
      <c r="I110" s="22">
        <f>(I22)</f>
        <v>2.9245550079349201</v>
      </c>
      <c r="J110" s="237">
        <f>(J22)</f>
        <v>0.23982964436038101</v>
      </c>
      <c r="K110" s="22">
        <f>(B110)</f>
        <v>0.62914968866749699</v>
      </c>
      <c r="L110" s="22">
        <f>IF(L106=L101,0,(L101-L106)/(B101-B106)*K110)</f>
        <v>0.59327725576214563</v>
      </c>
      <c r="M110" s="57">
        <f t="shared" si="53"/>
        <v>0.23982964436038101</v>
      </c>
      <c r="N110" s="5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2"/>
      <c r="AC110" s="2"/>
      <c r="AD110" s="2"/>
      <c r="AE110" s="2"/>
      <c r="AF110" s="2"/>
      <c r="AG110" s="2"/>
    </row>
    <row r="111" spans="1:88" ht="14" customHeight="1">
      <c r="A111" s="56" t="s">
        <v>57</v>
      </c>
      <c r="B111" s="29">
        <f>(B112-B106-B107-B108-B109-B110)</f>
        <v>-1.1736209582105848</v>
      </c>
      <c r="C111" s="56"/>
      <c r="D111" s="31"/>
      <c r="E111" s="2"/>
      <c r="F111" s="2"/>
      <c r="G111" s="2"/>
      <c r="H111" s="24"/>
      <c r="I111" s="22"/>
      <c r="J111" s="237">
        <f>(J112-J106-J107-J108-J109-J110)</f>
        <v>3.3306690738754696E-16</v>
      </c>
      <c r="K111" s="22">
        <f>(B111)</f>
        <v>-1.1736209582105848</v>
      </c>
      <c r="L111" s="75">
        <f>(L112-L106-L107-L108-L109-L110)</f>
        <v>-3.3306690738754696E-16</v>
      </c>
      <c r="M111" s="57">
        <f t="shared" si="53"/>
        <v>3.3306690738754696E-16</v>
      </c>
      <c r="N111" s="5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2"/>
      <c r="AC111" s="2"/>
      <c r="AD111" s="2"/>
      <c r="AE111" s="2"/>
      <c r="AF111" s="2"/>
      <c r="AG111" s="2"/>
    </row>
    <row r="112" spans="1:88" ht="14" customHeight="1">
      <c r="A112" s="56" t="s">
        <v>33</v>
      </c>
      <c r="B112" s="29">
        <f>(B101)</f>
        <v>6.2313653198444019</v>
      </c>
      <c r="C112" s="56"/>
      <c r="D112" s="31"/>
      <c r="E112" s="2"/>
      <c r="F112" s="2"/>
      <c r="G112" s="2"/>
      <c r="H112" s="24"/>
      <c r="I112" s="22">
        <f>(I101)</f>
        <v>6.4614372365787283</v>
      </c>
      <c r="J112" s="237">
        <f>(J101)</f>
        <v>6.4614372365787283</v>
      </c>
      <c r="K112" s="22">
        <f>(B112)</f>
        <v>6.2313653198444019</v>
      </c>
      <c r="L112" s="22">
        <f>(L101)</f>
        <v>6.0171530725918938</v>
      </c>
      <c r="M112" s="57">
        <f t="shared" si="53"/>
        <v>6.4614372365787283</v>
      </c>
      <c r="N112" s="5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2"/>
      <c r="AC112" s="2"/>
      <c r="AD112" s="2"/>
      <c r="AE112" s="2"/>
      <c r="AF112" s="2"/>
      <c r="AG112" s="2"/>
    </row>
    <row r="113" spans="1:33" ht="14" customHeight="1">
      <c r="A113" s="56" t="s">
        <v>38</v>
      </c>
      <c r="B113" s="29"/>
      <c r="C113" s="56"/>
      <c r="D113" s="31"/>
      <c r="E113" s="2"/>
      <c r="F113" s="2"/>
      <c r="G113" s="2"/>
      <c r="H113" s="24"/>
      <c r="I113" s="22">
        <f>IF(SUMPRODUCT($B106:$B109,$H106:$H109)&gt;(I101-I110),SUMPRODUCT($B106:$B109,$H106:$H109)+I110-I101,0)</f>
        <v>3.2289272750934011</v>
      </c>
      <c r="J113" s="236">
        <f>IF(SUMPRODUCT($B106:$B109,$H106:$H109)&gt;(J101-J110),SUMPRODUCT($B106:$B109,$H106:$H109)+J110-J101,0)</f>
        <v>0.54420191151886144</v>
      </c>
      <c r="K113" s="22"/>
      <c r="L113" s="22">
        <f>I113-(SUM(L108:L109))</f>
        <v>1.3419336869074607</v>
      </c>
      <c r="M113" s="236">
        <f>I113-(SUM(M108:M109))</f>
        <v>0.54420191151886232</v>
      </c>
      <c r="N113" s="5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2"/>
      <c r="AC113" s="2"/>
      <c r="AD113" s="2"/>
      <c r="AE113" s="2"/>
      <c r="AF113" s="2"/>
      <c r="AG113" s="2"/>
    </row>
    <row r="114" spans="1:33" ht="14" customHeight="1">
      <c r="A114" s="54"/>
      <c r="B114" s="54"/>
      <c r="C114" s="54"/>
      <c r="D114" s="12"/>
      <c r="E114" s="14"/>
      <c r="F114" s="14"/>
      <c r="G114" s="14"/>
      <c r="H114" s="12"/>
      <c r="I114" s="14"/>
      <c r="J114" s="12"/>
      <c r="K114" s="14"/>
      <c r="L114" s="14"/>
      <c r="M114" s="66"/>
      <c r="N114" s="58"/>
    </row>
    <row r="124" spans="1:33">
      <c r="A124" s="56"/>
      <c r="B124" s="56"/>
      <c r="C124" s="56"/>
      <c r="D124" s="2"/>
      <c r="E124" s="2"/>
      <c r="F124" s="2"/>
      <c r="G124" s="2"/>
      <c r="H124" s="2"/>
      <c r="I124" s="2"/>
      <c r="J124" s="2"/>
      <c r="L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B125" s="29"/>
      <c r="C125" s="29"/>
      <c r="D125" s="2"/>
      <c r="E125" s="2"/>
      <c r="F125" s="2"/>
      <c r="G125" s="2"/>
      <c r="H125" s="2"/>
      <c r="I125" s="22"/>
      <c r="J125" s="2"/>
      <c r="L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68"/>
      <c r="AC125" s="2"/>
      <c r="AD125" s="2"/>
      <c r="AE125" s="2"/>
      <c r="AF125" s="2"/>
      <c r="AG125" s="2"/>
    </row>
    <row r="126" spans="1:33">
      <c r="B126" s="29"/>
      <c r="C126" s="29"/>
      <c r="D126" s="2"/>
      <c r="E126" s="2"/>
      <c r="F126" s="2"/>
      <c r="G126" s="2"/>
      <c r="H126" s="2"/>
      <c r="I126" s="2"/>
      <c r="J126" s="2"/>
      <c r="L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68"/>
      <c r="AC126" s="2"/>
      <c r="AD126" s="2"/>
      <c r="AE126" s="2"/>
      <c r="AF126" s="2"/>
      <c r="AG126" s="2"/>
    </row>
    <row r="127" spans="1:33">
      <c r="B127" s="29"/>
      <c r="C127" s="29"/>
      <c r="D127" s="2"/>
      <c r="E127" s="2"/>
      <c r="F127" s="2"/>
      <c r="G127" s="2"/>
      <c r="H127" s="2"/>
      <c r="I127" s="22"/>
      <c r="J127" s="2"/>
      <c r="L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68"/>
      <c r="AC127" s="2"/>
      <c r="AD127" s="2"/>
      <c r="AE127" s="2"/>
      <c r="AF127" s="2"/>
      <c r="AG127" s="2"/>
    </row>
    <row r="128" spans="1:33">
      <c r="B128" s="56"/>
      <c r="C128" s="56"/>
      <c r="D128" s="2"/>
      <c r="E128" s="2"/>
      <c r="F128" s="2"/>
      <c r="G128" s="2"/>
      <c r="H128" s="2"/>
      <c r="I128" s="2"/>
      <c r="J128" s="2"/>
      <c r="L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68"/>
      <c r="AC128" s="2"/>
      <c r="AD128" s="2"/>
      <c r="AE128" s="2"/>
      <c r="AF128" s="2"/>
      <c r="AG128" s="2"/>
    </row>
    <row r="129" spans="1:33">
      <c r="B129" s="29"/>
      <c r="C129" s="29"/>
      <c r="D129" s="2"/>
      <c r="E129" s="2"/>
      <c r="F129" s="2"/>
      <c r="G129" s="2"/>
      <c r="H129" s="2"/>
      <c r="I129" s="2"/>
      <c r="J129" s="2"/>
      <c r="L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68"/>
      <c r="AC129" s="2"/>
      <c r="AD129" s="2"/>
      <c r="AE129" s="2"/>
      <c r="AF129" s="2"/>
      <c r="AG129" s="2"/>
    </row>
    <row r="130" spans="1:33">
      <c r="B130" s="29"/>
      <c r="C130" s="29"/>
      <c r="D130" s="2"/>
      <c r="E130" s="2"/>
      <c r="F130" s="2"/>
      <c r="G130" s="2"/>
      <c r="H130" s="2"/>
      <c r="I130" s="2"/>
      <c r="J130" s="2"/>
      <c r="L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68"/>
      <c r="AC130" s="2"/>
      <c r="AD130" s="2"/>
      <c r="AE130" s="2"/>
      <c r="AF130" s="2"/>
      <c r="AG130" s="2"/>
    </row>
    <row r="131" spans="1:33">
      <c r="B131" s="29"/>
      <c r="C131" s="29"/>
      <c r="D131" s="2"/>
      <c r="E131" s="2"/>
      <c r="F131" s="2"/>
      <c r="G131" s="2"/>
      <c r="H131" s="2"/>
      <c r="I131" s="2"/>
      <c r="J131" s="2"/>
      <c r="L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68"/>
      <c r="AC131" s="2"/>
      <c r="AD131" s="2"/>
      <c r="AE131" s="2"/>
      <c r="AF131" s="2"/>
      <c r="AG131" s="2"/>
    </row>
    <row r="132" spans="1:33">
      <c r="B132" s="29"/>
      <c r="C132" s="29"/>
      <c r="D132" s="2"/>
      <c r="E132" s="2"/>
      <c r="F132" s="2"/>
      <c r="G132" s="2"/>
      <c r="H132" s="2"/>
      <c r="I132" s="2"/>
      <c r="J132" s="2"/>
      <c r="L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68"/>
      <c r="AC132" s="2"/>
      <c r="AD132" s="2"/>
      <c r="AE132" s="2"/>
      <c r="AF132" s="2"/>
      <c r="AG132" s="2"/>
    </row>
    <row r="133" spans="1:33">
      <c r="B133" s="29"/>
      <c r="C133" s="29"/>
      <c r="D133" s="2"/>
      <c r="E133" s="2"/>
      <c r="F133" s="2"/>
      <c r="G133" s="2"/>
      <c r="H133" s="2"/>
      <c r="I133" s="2"/>
      <c r="J133" s="2"/>
      <c r="L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68"/>
      <c r="AC133" s="2"/>
      <c r="AD133" s="2"/>
      <c r="AE133" s="2"/>
      <c r="AF133" s="2"/>
      <c r="AG133" s="2"/>
    </row>
    <row r="134" spans="1:33">
      <c r="B134" s="29"/>
      <c r="C134" s="29"/>
      <c r="D134" s="2"/>
      <c r="E134" s="2"/>
      <c r="F134" s="2"/>
      <c r="G134" s="2"/>
      <c r="H134" s="2"/>
      <c r="I134" s="2"/>
      <c r="J134" s="2"/>
      <c r="L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68"/>
      <c r="AC134" s="2"/>
      <c r="AD134" s="2"/>
      <c r="AE134" s="2"/>
      <c r="AF134" s="2"/>
      <c r="AG134" s="2"/>
    </row>
    <row r="135" spans="1:33">
      <c r="A135" s="56"/>
      <c r="B135" s="56"/>
      <c r="C135" s="56"/>
      <c r="D135" s="2"/>
      <c r="E135" s="2"/>
      <c r="F135" s="2"/>
      <c r="G135" s="2"/>
      <c r="H135" s="2"/>
      <c r="I135" s="2"/>
      <c r="J135" s="2"/>
      <c r="L135" s="2"/>
      <c r="O135" s="2"/>
      <c r="P135" s="2"/>
      <c r="Q135" s="2"/>
      <c r="R135" s="2"/>
      <c r="S135" s="2"/>
      <c r="T135" s="2"/>
      <c r="U135" s="2"/>
      <c r="V135" s="2"/>
      <c r="W135" s="69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70"/>
      <c r="B136" s="56"/>
      <c r="C136" s="56"/>
      <c r="D136" s="2"/>
      <c r="E136" s="2"/>
      <c r="F136" s="2"/>
      <c r="H136" s="2"/>
      <c r="I136" s="2"/>
      <c r="J136" s="2"/>
      <c r="L136" s="2"/>
      <c r="W136" s="71"/>
    </row>
    <row r="137" spans="1:33">
      <c r="A137" s="56"/>
      <c r="B137" s="56"/>
      <c r="C137" s="56"/>
      <c r="D137" s="2"/>
      <c r="E137" s="2"/>
      <c r="F137" s="2"/>
      <c r="H137" s="2"/>
      <c r="I137" s="2"/>
      <c r="J137" s="2"/>
      <c r="L137" s="2"/>
      <c r="W137" s="71"/>
    </row>
    <row r="138" spans="1:33">
      <c r="A138" s="56"/>
      <c r="B138" s="56"/>
      <c r="C138" s="56"/>
      <c r="D138" s="2"/>
      <c r="E138" s="2"/>
      <c r="F138" s="2"/>
      <c r="H138" s="2"/>
      <c r="I138" s="2"/>
      <c r="J138" s="2"/>
      <c r="L138" s="2"/>
      <c r="W138" s="71"/>
    </row>
    <row r="139" spans="1:33">
      <c r="A139" s="29"/>
      <c r="B139" s="56"/>
      <c r="C139" s="56"/>
      <c r="D139" s="2"/>
      <c r="E139" s="2"/>
      <c r="F139" s="2"/>
      <c r="H139" s="2"/>
      <c r="I139" s="2"/>
      <c r="J139" s="2"/>
      <c r="L139" s="2"/>
      <c r="W139" s="71"/>
    </row>
    <row r="140" spans="1:33">
      <c r="A140" s="56"/>
      <c r="B140" s="56"/>
      <c r="C140" s="56"/>
      <c r="D140" s="2"/>
      <c r="E140" s="2"/>
      <c r="F140" s="2"/>
      <c r="H140" s="2"/>
      <c r="I140" s="2"/>
      <c r="J140" s="2"/>
      <c r="L140" s="2"/>
      <c r="W140" s="71"/>
    </row>
    <row r="141" spans="1:33">
      <c r="A141" s="56"/>
      <c r="B141" s="56"/>
      <c r="C141" s="56"/>
      <c r="D141" s="2"/>
      <c r="E141" s="2"/>
      <c r="F141" s="2"/>
      <c r="H141" s="2"/>
      <c r="I141" s="2"/>
      <c r="J141" s="2"/>
      <c r="L141" s="2"/>
    </row>
    <row r="142" spans="1:33">
      <c r="A142" s="56"/>
      <c r="B142" s="56"/>
      <c r="C142" s="56"/>
      <c r="D142" s="2"/>
      <c r="E142" s="2"/>
      <c r="F142" s="2"/>
      <c r="H142" s="2"/>
      <c r="I142" s="2"/>
      <c r="J142" s="2"/>
      <c r="L142" s="2"/>
    </row>
    <row r="143" spans="1:33">
      <c r="A143" s="56"/>
      <c r="B143" s="56"/>
      <c r="C143" s="56"/>
      <c r="D143" s="2"/>
      <c r="E143" s="2"/>
      <c r="F143" s="2"/>
      <c r="H143" s="2"/>
      <c r="I143" s="2"/>
      <c r="J143" s="2"/>
      <c r="L143" s="2"/>
      <c r="AB143" s="71"/>
    </row>
    <row r="144" spans="1:33">
      <c r="A144" s="56"/>
      <c r="B144" s="56"/>
      <c r="C144" s="56"/>
      <c r="D144" s="2"/>
      <c r="E144" s="2"/>
      <c r="F144" s="2"/>
      <c r="H144" s="2"/>
      <c r="I144" s="2"/>
      <c r="J144" s="2"/>
      <c r="L144" s="2"/>
      <c r="AB144" s="71"/>
    </row>
    <row r="145" spans="1:28">
      <c r="A145" s="56"/>
      <c r="B145" s="56"/>
      <c r="C145" s="56"/>
      <c r="D145" s="2"/>
      <c r="E145" s="2"/>
      <c r="F145" s="2"/>
      <c r="H145" s="2"/>
      <c r="I145" s="2"/>
      <c r="J145" s="2"/>
      <c r="L145" s="2"/>
      <c r="AB145" s="71"/>
    </row>
    <row r="146" spans="1:28">
      <c r="A146" s="56"/>
      <c r="B146" s="56"/>
      <c r="C146" s="56"/>
      <c r="D146" s="2"/>
      <c r="E146" s="2"/>
      <c r="F146" s="2"/>
      <c r="H146" s="2"/>
      <c r="I146" s="2"/>
      <c r="J146" s="2"/>
      <c r="L146" s="2"/>
      <c r="AB146" s="71"/>
    </row>
    <row r="147" spans="1:28">
      <c r="A147" s="56"/>
      <c r="B147" s="56"/>
      <c r="C147" s="56"/>
      <c r="D147" s="2"/>
      <c r="E147" s="2"/>
      <c r="F147" s="2"/>
      <c r="H147" s="2"/>
      <c r="I147" s="2"/>
      <c r="J147" s="2"/>
      <c r="L147" s="2"/>
      <c r="W147" s="72"/>
      <c r="AB147" s="71"/>
    </row>
    <row r="148" spans="1:28">
      <c r="A148" s="56"/>
      <c r="B148" s="56"/>
      <c r="C148" s="56"/>
      <c r="D148" s="2"/>
      <c r="E148" s="2"/>
      <c r="F148" s="2"/>
      <c r="H148" s="2"/>
      <c r="I148" s="2"/>
      <c r="J148" s="2"/>
      <c r="L148" s="2"/>
      <c r="W148" s="72"/>
      <c r="AB148" s="71"/>
    </row>
    <row r="149" spans="1:28">
      <c r="A149" s="56"/>
      <c r="B149" s="56"/>
      <c r="C149" s="56"/>
      <c r="D149" s="2"/>
      <c r="E149" s="2"/>
      <c r="F149" s="2"/>
      <c r="H149" s="2"/>
      <c r="I149" s="2"/>
      <c r="J149" s="2"/>
      <c r="L149" s="2"/>
      <c r="AB149" s="71"/>
    </row>
    <row r="150" spans="1:28">
      <c r="A150" s="56"/>
      <c r="B150" s="56"/>
      <c r="C150" s="56"/>
      <c r="D150" s="2"/>
      <c r="E150" s="2"/>
      <c r="F150" s="2"/>
      <c r="H150" s="2"/>
      <c r="I150" s="2"/>
      <c r="J150" s="2"/>
      <c r="L150" s="2"/>
      <c r="AB150" s="71"/>
    </row>
    <row r="151" spans="1:28">
      <c r="A151" s="56"/>
      <c r="B151" s="56"/>
      <c r="C151" s="56"/>
      <c r="D151" s="2"/>
      <c r="E151" s="2"/>
      <c r="F151" s="2"/>
      <c r="H151" s="2"/>
      <c r="I151" s="2"/>
      <c r="J151" s="2"/>
      <c r="L151" s="2"/>
      <c r="AB151" s="71"/>
    </row>
    <row r="152" spans="1:28">
      <c r="A152" s="56"/>
      <c r="B152" s="56"/>
      <c r="C152" s="56"/>
      <c r="D152" s="2"/>
      <c r="E152" s="2"/>
      <c r="F152" s="2"/>
      <c r="H152" s="2"/>
      <c r="I152" s="2"/>
      <c r="J152" s="2"/>
      <c r="L152" s="2"/>
    </row>
    <row r="153" spans="1:28">
      <c r="A153" s="56"/>
      <c r="B153" s="56"/>
      <c r="C153" s="56"/>
      <c r="D153" s="2"/>
      <c r="E153" s="2"/>
      <c r="F153" s="2"/>
      <c r="H153" s="2"/>
      <c r="I153" s="2"/>
      <c r="J153" s="2"/>
      <c r="L153" s="2"/>
      <c r="W153" s="72"/>
      <c r="AB153" s="71"/>
    </row>
    <row r="154" spans="1:28">
      <c r="A154" s="56"/>
      <c r="B154" s="56"/>
      <c r="C154" s="56"/>
      <c r="D154" s="2"/>
      <c r="E154" s="2"/>
      <c r="F154" s="2"/>
      <c r="H154" s="2"/>
      <c r="I154" s="2"/>
      <c r="J154" s="2"/>
      <c r="L154" s="2"/>
      <c r="W154" s="72"/>
    </row>
    <row r="155" spans="1:28">
      <c r="A155" s="56"/>
      <c r="B155" s="56"/>
      <c r="C155" s="56"/>
      <c r="D155" s="2"/>
      <c r="E155" s="2"/>
      <c r="F155" s="2"/>
      <c r="H155" s="2"/>
      <c r="I155" s="2"/>
      <c r="J155" s="2"/>
      <c r="L155" s="2"/>
    </row>
    <row r="156" spans="1:28">
      <c r="A156" s="56"/>
      <c r="B156" s="56"/>
      <c r="C156" s="56"/>
      <c r="D156" s="2"/>
      <c r="E156" s="2"/>
      <c r="F156" s="2"/>
      <c r="H156" s="2"/>
      <c r="I156" s="2"/>
      <c r="J156" s="2"/>
      <c r="L156" s="2"/>
    </row>
    <row r="157" spans="1:28">
      <c r="A157" s="56"/>
      <c r="B157" s="56"/>
      <c r="C157" s="56"/>
      <c r="D157" s="2"/>
      <c r="E157" s="2"/>
      <c r="F157" s="2"/>
      <c r="H157" s="2"/>
      <c r="I157" s="2"/>
      <c r="J157" s="2"/>
      <c r="L157" s="2"/>
      <c r="AB157" s="71"/>
    </row>
    <row r="158" spans="1:28">
      <c r="A158" s="56"/>
      <c r="B158" s="56"/>
      <c r="C158" s="56"/>
      <c r="D158" s="2"/>
      <c r="E158" s="2"/>
      <c r="F158" s="2"/>
      <c r="H158" s="2"/>
      <c r="I158" s="2"/>
      <c r="J158" s="2"/>
      <c r="L158" s="2"/>
      <c r="AB158" s="71"/>
    </row>
    <row r="159" spans="1:28">
      <c r="A159" s="56"/>
      <c r="B159" s="56"/>
      <c r="C159" s="56"/>
      <c r="D159" s="2"/>
      <c r="E159" s="2"/>
      <c r="F159" s="2"/>
      <c r="H159" s="2"/>
      <c r="I159" s="2"/>
      <c r="J159" s="2"/>
      <c r="L159" s="2"/>
      <c r="W159" s="72"/>
      <c r="AB159" s="71"/>
    </row>
    <row r="160" spans="1:28">
      <c r="A160" s="56"/>
      <c r="B160" s="56"/>
      <c r="C160" s="56"/>
      <c r="D160" s="2"/>
      <c r="E160" s="2"/>
      <c r="F160" s="2"/>
      <c r="H160" s="2"/>
      <c r="I160" s="2"/>
      <c r="J160" s="2"/>
      <c r="L160" s="2"/>
      <c r="W160" s="72"/>
      <c r="AB160" s="71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</row>
    <row r="167" spans="1:28">
      <c r="AB167" s="71"/>
    </row>
    <row r="168" spans="1:28">
      <c r="AB168" s="71"/>
    </row>
    <row r="169" spans="1:28">
      <c r="AB169" s="71"/>
    </row>
    <row r="170" spans="1:28">
      <c r="AB170" s="71"/>
    </row>
    <row r="171" spans="1:28">
      <c r="W171" s="72"/>
      <c r="AB171" s="71"/>
    </row>
    <row r="172" spans="1:28">
      <c r="W172" s="72"/>
      <c r="AB172" s="71"/>
    </row>
    <row r="173" spans="1:28">
      <c r="W173" s="72"/>
    </row>
    <row r="175" spans="1:28">
      <c r="AB175" s="71"/>
    </row>
    <row r="176" spans="1:28">
      <c r="AB176" s="71"/>
    </row>
    <row r="177" spans="23:28">
      <c r="AB177" s="71"/>
    </row>
    <row r="178" spans="23:28">
      <c r="AB178" s="71"/>
    </row>
    <row r="179" spans="23:28">
      <c r="AB179" s="71"/>
    </row>
    <row r="180" spans="23:28">
      <c r="W180" s="72"/>
      <c r="AB180" s="71"/>
    </row>
    <row r="181" spans="23:28">
      <c r="W181" s="72"/>
    </row>
    <row r="182" spans="23:28">
      <c r="W182" s="72"/>
    </row>
    <row r="189" spans="23:28">
      <c r="W189" s="72"/>
    </row>
    <row r="190" spans="23:28">
      <c r="W190" s="72"/>
    </row>
    <row r="191" spans="23:28">
      <c r="W191" s="72"/>
    </row>
    <row r="201" spans="23:23">
      <c r="W201" s="72"/>
    </row>
    <row r="202" spans="23:23">
      <c r="W202" s="72"/>
    </row>
    <row r="203" spans="23:23">
      <c r="W203" s="72"/>
    </row>
    <row r="210" spans="23:23">
      <c r="W210" s="72"/>
    </row>
    <row r="211" spans="23:23">
      <c r="W211" s="72"/>
    </row>
    <row r="212" spans="23:23">
      <c r="W212" s="72"/>
    </row>
    <row r="219" spans="23:23">
      <c r="W219" s="72"/>
    </row>
    <row r="220" spans="23:23">
      <c r="W220" s="72"/>
    </row>
    <row r="221" spans="23:23">
      <c r="W221" s="72"/>
    </row>
    <row r="231" spans="23:23">
      <c r="W231" s="72"/>
    </row>
    <row r="232" spans="23:23">
      <c r="W232" s="72"/>
    </row>
    <row r="233" spans="23:23">
      <c r="W233" s="72"/>
    </row>
    <row r="240" spans="23:23">
      <c r="W240" s="72"/>
    </row>
    <row r="241" spans="23:23">
      <c r="W241" s="72"/>
    </row>
    <row r="242" spans="23:23">
      <c r="W242" s="72"/>
    </row>
    <row r="249" spans="23:23">
      <c r="W249" s="72"/>
    </row>
    <row r="250" spans="23:23">
      <c r="W250" s="72"/>
    </row>
    <row r="251" spans="23:23">
      <c r="W251" s="72"/>
    </row>
  </sheetData>
  <sheetProtection sheet="1" objects="1" scenarios="1" formatCells="0" formatColumns="0" formatRow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19" val="1" numFmtId="9"/>
      <inputCells r="E20" val="1" numFmtId="9"/>
      <inputCells r="E21" val="1" numFmtId="9"/>
      <inputCells r="E32" val="1" numFmtId="9"/>
      <inputCells r="E36" val="1" numFmtId="9"/>
      <inputCells r="E37" val="1" numFmtId="9"/>
      <inputCells r="E38" val="1" numFmtId="9"/>
      <inputCells r="E51" val="1" numFmtId="9"/>
      <inputCells r="F30" val="1" numFmtId="9"/>
      <inputCells r="F31" val="2" numFmtId="9"/>
      <inputCells r="F32" val="1.25" numFmtId="9"/>
      <inputCells r="F36" val="1" numFmtId="9"/>
      <inputCells r="F37" val="0.4" numFmtId="9"/>
      <inputCells r="F38" val="1" numFmtId="9"/>
      <inputCells r="F51" val="1" numFmtId="9"/>
      <inputCells r="F29" val="2.5" numFmtId="9"/>
      <inputCells r="G29" val="2" numFmtId="9"/>
      <inputCells r="F57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19" val="1" numFmtId="9"/>
      <inputCells r="E20" val="1" numFmtId="9"/>
      <inputCells r="E21" val="1" numFmtId="9"/>
      <inputCells r="E32" val="1" numFmtId="9"/>
      <inputCells r="E36" val="1" numFmtId="9"/>
      <inputCells r="E37" val="1" numFmtId="9"/>
      <inputCells r="E38" val="1" numFmtId="9"/>
      <inputCells r="E51" val="1" numFmtId="9"/>
      <inputCells r="F29" val="1" numFmtId="9"/>
      <inputCells r="F30" val="1" numFmtId="9"/>
      <inputCells r="F31" val="1" numFmtId="9"/>
      <inputCells r="F32" val="1" numFmtId="9"/>
      <inputCells r="F36" val="1" numFmtId="9"/>
      <inputCells r="F37" val="1" numFmtId="9"/>
      <inputCells r="F38" val="1" numFmtId="9"/>
      <inputCells r="F51" val="1" numFmtId="9"/>
      <inputCells r="G29" val="1" numFmtId="9"/>
      <inputCells r="F57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U7:U22">
    <cfRule type="cellIs" dxfId="255" priority="65" operator="equal">
      <formula>16</formula>
    </cfRule>
    <cfRule type="cellIs" dxfId="254" priority="66" operator="equal">
      <formula>15</formula>
    </cfRule>
    <cfRule type="cellIs" dxfId="253" priority="67" operator="equal">
      <formula>14</formula>
    </cfRule>
    <cfRule type="cellIs" dxfId="252" priority="68" operator="equal">
      <formula>13</formula>
    </cfRule>
    <cfRule type="cellIs" dxfId="251" priority="69" operator="equal">
      <formula>12</formula>
    </cfRule>
    <cfRule type="cellIs" dxfId="250" priority="70" operator="equal">
      <formula>11</formula>
    </cfRule>
    <cfRule type="cellIs" dxfId="249" priority="71" operator="equal">
      <formula>10</formula>
    </cfRule>
    <cfRule type="cellIs" dxfId="248" priority="72" operator="equal">
      <formula>9</formula>
    </cfRule>
    <cfRule type="cellIs" dxfId="247" priority="73" operator="equal">
      <formula>8</formula>
    </cfRule>
    <cfRule type="cellIs" dxfId="246" priority="74" operator="equal">
      <formula>7</formula>
    </cfRule>
    <cfRule type="cellIs" dxfId="245" priority="75" operator="equal">
      <formula>6</formula>
    </cfRule>
    <cfRule type="cellIs" dxfId="244" priority="76" operator="equal">
      <formula>5</formula>
    </cfRule>
    <cfRule type="cellIs" dxfId="243" priority="77" operator="equal">
      <formula>4</formula>
    </cfRule>
    <cfRule type="cellIs" dxfId="242" priority="78" operator="equal">
      <formula>3</formula>
    </cfRule>
    <cfRule type="cellIs" dxfId="241" priority="79" operator="equal">
      <formula>2</formula>
    </cfRule>
    <cfRule type="cellIs" dxfId="240" priority="80" operator="equal">
      <formula>1</formula>
    </cfRule>
  </conditionalFormatting>
  <conditionalFormatting sqref="N6:N21">
    <cfRule type="cellIs" dxfId="239" priority="33" operator="equal">
      <formula>16</formula>
    </cfRule>
    <cfRule type="cellIs" dxfId="238" priority="34" operator="equal">
      <formula>15</formula>
    </cfRule>
    <cfRule type="cellIs" dxfId="237" priority="35" operator="equal">
      <formula>14</formula>
    </cfRule>
    <cfRule type="cellIs" dxfId="236" priority="36" operator="equal">
      <formula>13</formula>
    </cfRule>
    <cfRule type="cellIs" dxfId="235" priority="37" operator="equal">
      <formula>12</formula>
    </cfRule>
    <cfRule type="cellIs" dxfId="234" priority="38" operator="equal">
      <formula>11</formula>
    </cfRule>
    <cfRule type="cellIs" dxfId="233" priority="39" operator="equal">
      <formula>10</formula>
    </cfRule>
    <cfRule type="cellIs" dxfId="232" priority="40" operator="equal">
      <formula>9</formula>
    </cfRule>
    <cfRule type="cellIs" dxfId="231" priority="41" operator="equal">
      <formula>8</formula>
    </cfRule>
    <cfRule type="cellIs" dxfId="230" priority="42" operator="equal">
      <formula>7</formula>
    </cfRule>
    <cfRule type="cellIs" dxfId="229" priority="43" operator="equal">
      <formula>6</formula>
    </cfRule>
    <cfRule type="cellIs" dxfId="228" priority="44" operator="equal">
      <formula>5</formula>
    </cfRule>
    <cfRule type="cellIs" dxfId="227" priority="45" operator="equal">
      <formula>4</formula>
    </cfRule>
    <cfRule type="cellIs" dxfId="226" priority="46" operator="equal">
      <formula>3</formula>
    </cfRule>
    <cfRule type="cellIs" dxfId="225" priority="47" operator="equal">
      <formula>2</formula>
    </cfRule>
    <cfRule type="cellIs" dxfId="224" priority="48" operator="equal">
      <formula>1</formula>
    </cfRule>
  </conditionalFormatting>
  <conditionalFormatting sqref="N78:N91">
    <cfRule type="cellIs" dxfId="223" priority="17" operator="equal">
      <formula>16</formula>
    </cfRule>
    <cfRule type="cellIs" dxfId="222" priority="18" operator="equal">
      <formula>15</formula>
    </cfRule>
    <cfRule type="cellIs" dxfId="221" priority="19" operator="equal">
      <formula>14</formula>
    </cfRule>
    <cfRule type="cellIs" dxfId="220" priority="20" operator="equal">
      <formula>13</formula>
    </cfRule>
    <cfRule type="cellIs" dxfId="219" priority="21" operator="equal">
      <formula>12</formula>
    </cfRule>
    <cfRule type="cellIs" dxfId="218" priority="22" operator="equal">
      <formula>11</formula>
    </cfRule>
    <cfRule type="cellIs" dxfId="217" priority="23" operator="equal">
      <formula>10</formula>
    </cfRule>
    <cfRule type="cellIs" dxfId="216" priority="24" operator="equal">
      <formula>9</formula>
    </cfRule>
    <cfRule type="cellIs" dxfId="215" priority="25" operator="equal">
      <formula>8</formula>
    </cfRule>
    <cfRule type="cellIs" dxfId="214" priority="26" operator="equal">
      <formula>7</formula>
    </cfRule>
    <cfRule type="cellIs" dxfId="213" priority="27" operator="equal">
      <formula>6</formula>
    </cfRule>
    <cfRule type="cellIs" dxfId="212" priority="28" operator="equal">
      <formula>5</formula>
    </cfRule>
    <cfRule type="cellIs" dxfId="211" priority="29" operator="equal">
      <formula>4</formula>
    </cfRule>
    <cfRule type="cellIs" dxfId="210" priority="30" operator="equal">
      <formula>3</formula>
    </cfRule>
    <cfRule type="cellIs" dxfId="209" priority="31" operator="equal">
      <formula>2</formula>
    </cfRule>
    <cfRule type="cellIs" dxfId="208" priority="32" operator="equal">
      <formula>1</formula>
    </cfRule>
  </conditionalFormatting>
  <conditionalFormatting sqref="N92:N100">
    <cfRule type="cellIs" dxfId="207" priority="1" operator="equal">
      <formula>16</formula>
    </cfRule>
    <cfRule type="cellIs" dxfId="206" priority="2" operator="equal">
      <formula>15</formula>
    </cfRule>
    <cfRule type="cellIs" dxfId="205" priority="3" operator="equal">
      <formula>14</formula>
    </cfRule>
    <cfRule type="cellIs" dxfId="204" priority="4" operator="equal">
      <formula>13</formula>
    </cfRule>
    <cfRule type="cellIs" dxfId="203" priority="5" operator="equal">
      <formula>12</formula>
    </cfRule>
    <cfRule type="cellIs" dxfId="202" priority="6" operator="equal">
      <formula>11</formula>
    </cfRule>
    <cfRule type="cellIs" dxfId="201" priority="7" operator="equal">
      <formula>10</formula>
    </cfRule>
    <cfRule type="cellIs" dxfId="200" priority="8" operator="equal">
      <formula>9</formula>
    </cfRule>
    <cfRule type="cellIs" dxfId="199" priority="9" operator="equal">
      <formula>8</formula>
    </cfRule>
    <cfRule type="cellIs" dxfId="198" priority="10" operator="equal">
      <formula>7</formula>
    </cfRule>
    <cfRule type="cellIs" dxfId="197" priority="11" operator="equal">
      <formula>6</formula>
    </cfRule>
    <cfRule type="cellIs" dxfId="196" priority="12" operator="equal">
      <formula>5</formula>
    </cfRule>
    <cfRule type="cellIs" dxfId="195" priority="13" operator="equal">
      <formula>4</formula>
    </cfRule>
    <cfRule type="cellIs" dxfId="194" priority="14" operator="equal">
      <formula>3</formula>
    </cfRule>
    <cfRule type="cellIs" dxfId="193" priority="15" operator="equal">
      <formula>2</formula>
    </cfRule>
    <cfRule type="cellIs" dxfId="192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51"/>
  <sheetViews>
    <sheetView showGridLines="0" zoomScale="125" zoomScaleNormal="125" zoomScalePageLayoutView="125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R24" sqref="R24:T27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ZASLC</v>
      </c>
      <c r="B1" s="2"/>
      <c r="C1" s="2"/>
      <c r="D1" s="2"/>
      <c r="E1" s="2" t="s">
        <v>47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09"/>
      <c r="X1" s="113" t="s">
        <v>69</v>
      </c>
      <c r="Y1" s="114" t="s">
        <v>60</v>
      </c>
      <c r="Z1" s="181" t="str">
        <f>Poor!Z1</f>
        <v>Apr-Jun</v>
      </c>
      <c r="AA1" s="182"/>
      <c r="AB1" s="181" t="str">
        <f>Poor!AB1</f>
        <v>Jul-Sep</v>
      </c>
      <c r="AC1" s="182"/>
      <c r="AD1" s="181" t="str">
        <f>Poor!AD1</f>
        <v>Oct-Dec</v>
      </c>
      <c r="AE1" s="182"/>
      <c r="AF1" s="181" t="str">
        <f>Poor!AF1</f>
        <v>Jan-Mar</v>
      </c>
      <c r="AG1" s="182"/>
      <c r="AH1" s="116"/>
      <c r="AI1" s="109"/>
      <c r="AJ1" s="181" t="str">
        <f>LEFT(Z1,4) &amp; MID(AB1,5,3)</f>
        <v>Apr-Sep</v>
      </c>
      <c r="AK1" s="182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09"/>
      <c r="X2" s="117" t="s">
        <v>61</v>
      </c>
      <c r="Y2" s="114" t="s">
        <v>62</v>
      </c>
      <c r="Z2" s="251" t="str">
        <f>Poor!Z2</f>
        <v>Q1</v>
      </c>
      <c r="AA2" s="252"/>
      <c r="AB2" s="251" t="str">
        <f>Poor!AB2</f>
        <v>Q2</v>
      </c>
      <c r="AC2" s="252"/>
      <c r="AD2" s="251" t="str">
        <f>Poor!AD2</f>
        <v>Q3</v>
      </c>
      <c r="AE2" s="252"/>
      <c r="AF2" s="251" t="str">
        <f>Poor!AF2</f>
        <v>Q4</v>
      </c>
      <c r="AG2" s="252"/>
      <c r="AH2" s="116"/>
      <c r="AI2" s="109"/>
      <c r="AJ2" s="198" t="str">
        <f>Poor!AJ2</f>
        <v>H1</v>
      </c>
      <c r="AK2" s="199" t="str">
        <f>Poor!AK2</f>
        <v>H2</v>
      </c>
      <c r="CM2" s="6"/>
    </row>
    <row r="3" spans="1:91">
      <c r="A3" s="73" t="s">
        <v>48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70</v>
      </c>
      <c r="R3" s="56"/>
      <c r="S3" s="67"/>
      <c r="T3" s="56"/>
      <c r="U3" s="56"/>
      <c r="V3" s="56"/>
      <c r="W3" s="109"/>
      <c r="X3" s="117"/>
      <c r="Y3" s="114" t="s">
        <v>63</v>
      </c>
      <c r="Z3" s="119"/>
      <c r="AA3" s="118"/>
      <c r="AB3" s="119"/>
      <c r="AC3" s="118"/>
      <c r="AD3" s="119"/>
      <c r="AE3" s="118"/>
      <c r="AF3" s="119"/>
      <c r="AG3" s="118"/>
      <c r="AH3" s="116"/>
      <c r="AI3" s="109"/>
      <c r="AJ3" s="119"/>
      <c r="AK3" s="118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71</v>
      </c>
      <c r="R4" s="56"/>
      <c r="S4" s="29"/>
      <c r="T4" s="56"/>
      <c r="U4" s="56"/>
      <c r="V4" s="56"/>
      <c r="W4" s="109"/>
      <c r="X4" s="117"/>
      <c r="Y4" s="114" t="s">
        <v>64</v>
      </c>
      <c r="Z4" s="119"/>
      <c r="AA4" s="118"/>
      <c r="AB4" s="119"/>
      <c r="AC4" s="118"/>
      <c r="AD4" s="119"/>
      <c r="AE4" s="118"/>
      <c r="AF4" s="119"/>
      <c r="AG4" s="118"/>
      <c r="AH4" s="116"/>
      <c r="AI4" s="109"/>
      <c r="AJ4" s="119"/>
      <c r="AK4" s="118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132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20</v>
      </c>
      <c r="M5" s="23" t="str">
        <f>(J5)</f>
        <v>Access</v>
      </c>
      <c r="O5" s="2" t="s">
        <v>21</v>
      </c>
      <c r="P5" s="19"/>
      <c r="Q5" s="56"/>
      <c r="R5" s="56"/>
      <c r="S5" s="29"/>
      <c r="T5" s="56"/>
      <c r="U5" s="56"/>
      <c r="V5" s="56"/>
      <c r="W5" s="109"/>
      <c r="X5" s="117"/>
      <c r="Y5" s="114"/>
      <c r="Z5" s="119"/>
      <c r="AA5" s="118"/>
      <c r="AB5" s="119"/>
      <c r="AC5" s="118"/>
      <c r="AD5" s="119"/>
      <c r="AE5" s="118"/>
      <c r="AF5" s="119"/>
      <c r="AG5" s="118"/>
      <c r="AH5" s="116"/>
      <c r="AI5" s="109"/>
      <c r="AJ5" s="119"/>
      <c r="AK5" s="118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0">
        <f>IF([1]Summ!$H1044="",0,[1]Summ!$H1044)</f>
        <v>7.5093399750934001E-2</v>
      </c>
      <c r="C6" s="100">
        <f>IF([1]Summ!$I1044="",0,[1]Summ!$I1044)</f>
        <v>0</v>
      </c>
      <c r="D6" s="24">
        <f t="shared" ref="D6:D21" si="0">(B6+C6)</f>
        <v>7.5093399750934001E-2</v>
      </c>
      <c r="E6" s="75">
        <f>Poor!E6</f>
        <v>1</v>
      </c>
      <c r="F6" s="2" t="s">
        <v>22</v>
      </c>
      <c r="H6" s="24">
        <f t="shared" ref="H6:H21" si="1">(E6*F$7/F$9)</f>
        <v>1</v>
      </c>
      <c r="I6" s="22">
        <f t="shared" ref="I6:I21" si="2">(D6*H6)</f>
        <v>7.5093399750934001E-2</v>
      </c>
      <c r="J6" s="24">
        <f t="shared" ref="J6:J13" si="3">IF(I$24&lt;=1+I$113,I6,B6*H6+J$25*(I6-B6*H6))</f>
        <v>7.5093399750934001E-2</v>
      </c>
      <c r="K6" s="22">
        <f t="shared" ref="K6:K23" si="4">B6</f>
        <v>7.5093399750934001E-2</v>
      </c>
      <c r="L6" s="22">
        <f t="shared" ref="L6:L21" si="5">IF(K6="","",K6*H6)</f>
        <v>7.5093399750934001E-2</v>
      </c>
      <c r="M6" s="226">
        <f t="shared" ref="M6:M23" si="6">J6</f>
        <v>7.5093399750934001E-2</v>
      </c>
      <c r="N6" s="231">
        <v>3</v>
      </c>
      <c r="O6" s="22" t="s">
        <v>23</v>
      </c>
      <c r="P6" s="22"/>
      <c r="Q6" s="56"/>
      <c r="R6" s="70" t="s">
        <v>7</v>
      </c>
      <c r="S6" s="70" t="s">
        <v>72</v>
      </c>
      <c r="T6" s="70" t="s">
        <v>23</v>
      </c>
      <c r="U6" s="56"/>
      <c r="V6" s="56"/>
      <c r="W6" s="114"/>
      <c r="X6" s="117"/>
      <c r="Y6" s="184">
        <f>M6*4</f>
        <v>0.300373599003736</v>
      </c>
      <c r="Z6" s="155">
        <f>Poor!Z6</f>
        <v>0.17</v>
      </c>
      <c r="AA6" s="120">
        <f>$M6*Z6*4</f>
        <v>5.1063511830635122E-2</v>
      </c>
      <c r="AB6" s="155">
        <f>Poor!AB6</f>
        <v>0.17</v>
      </c>
      <c r="AC6" s="120">
        <f t="shared" ref="AC6:AC21" si="7">$M6*AB6*4</f>
        <v>5.1063511830635122E-2</v>
      </c>
      <c r="AD6" s="155">
        <f>Poor!AD6</f>
        <v>0.33</v>
      </c>
      <c r="AE6" s="120">
        <f t="shared" ref="AE6:AE21" si="8">$M6*AD6*4</f>
        <v>9.9123287671232879E-2</v>
      </c>
      <c r="AF6" s="121">
        <f>1-SUM(Z6,AB6,AD6)</f>
        <v>0.32999999999999996</v>
      </c>
      <c r="AG6" s="120">
        <f>$M6*AF6*4</f>
        <v>9.9123287671232865E-2</v>
      </c>
      <c r="AH6" s="122">
        <f>SUM(Z6,AB6,AD6,AF6)</f>
        <v>1</v>
      </c>
      <c r="AI6" s="184">
        <f>SUM(AA6,AC6,AE6,AG6)/4</f>
        <v>7.5093399750934001E-2</v>
      </c>
      <c r="AJ6" s="119">
        <f>(AA6+AC6)/2</f>
        <v>5.1063511830635122E-2</v>
      </c>
      <c r="AK6" s="118">
        <f>(AE6+AG6)/2</f>
        <v>9.9123287671232879E-2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0">
        <f>IF([1]Summ!$H1045="",0,[1]Summ!$H1045)</f>
        <v>4.2051940639269411E-2</v>
      </c>
      <c r="C7" s="100">
        <f>IF([1]Summ!$I1045="",0,[1]Summ!$I1045)</f>
        <v>0</v>
      </c>
      <c r="D7" s="24">
        <f t="shared" si="0"/>
        <v>4.2051940639269411E-2</v>
      </c>
      <c r="E7" s="75">
        <f>Poor!E7</f>
        <v>1</v>
      </c>
      <c r="F7" s="27">
        <v>8800</v>
      </c>
      <c r="H7" s="24">
        <f t="shared" si="1"/>
        <v>1</v>
      </c>
      <c r="I7" s="22">
        <f t="shared" si="2"/>
        <v>4.2051940639269411E-2</v>
      </c>
      <c r="J7" s="24">
        <f t="shared" si="3"/>
        <v>4.2051940639269411E-2</v>
      </c>
      <c r="K7" s="22">
        <f t="shared" si="4"/>
        <v>4.2051940639269411E-2</v>
      </c>
      <c r="L7" s="22">
        <f t="shared" si="5"/>
        <v>4.2051940639269411E-2</v>
      </c>
      <c r="M7" s="226">
        <f t="shared" si="6"/>
        <v>4.2051940639269411E-2</v>
      </c>
      <c r="N7" s="231">
        <v>3</v>
      </c>
      <c r="O7" s="2"/>
      <c r="P7" s="22"/>
      <c r="Q7" s="59" t="s">
        <v>73</v>
      </c>
      <c r="R7" s="224">
        <f>IF($B$68=0,0,(SUMIF($N$6:$N$20,$U7,K$6:K$20)+SUMIF($N$78:$N$100,$U7,K$78:K$100))*$I$70*Poor!$B$68/$B$68)</f>
        <v>2260.6404196139724</v>
      </c>
      <c r="S7" s="224">
        <f>IF($B$68=0,0,(SUMIF($N$6:$N$20,$U7,L$6:L$20)+SUMIF($N$78:$N$100,$U7,L$78:L$100))*$I$70*Poor!$B$68/$B$68)</f>
        <v>2260.6404196139724</v>
      </c>
      <c r="T7" s="224">
        <f>IF($B$68=0,0,(SUMIF($N$6:$N$20,$U7,M$6:M$20)+SUMIF($N$78:$N$100,$U7,M$78:M$100))*$I$70*Poor!$B$68/$B$68)</f>
        <v>2260.6404196139724</v>
      </c>
      <c r="U7" s="225">
        <v>1</v>
      </c>
      <c r="V7" s="56"/>
      <c r="W7" s="114"/>
      <c r="X7" s="117">
        <f>Poor!X7</f>
        <v>4</v>
      </c>
      <c r="Y7" s="184">
        <f t="shared" ref="Y7:Y21" si="9">M7*4</f>
        <v>0.16820776255707764</v>
      </c>
      <c r="Z7" s="124">
        <f>IF($Y7=0,0,AA7/$Y7)</f>
        <v>0</v>
      </c>
      <c r="AA7" s="120">
        <f>IF($X7=1,IF(SUM(AA$6,AA$12:AA$21)&lt;1,IF((1-SUM(AA$6,AA$12:AA$21))*$M7/SUM($M$7*IF($X$7=1,1,0),$M$8*IF($X$8=1,1,0),$M$9*IF($X$9=1,1,0),$M$10*IF($X$10=1,1,0),$M$11*IF($X$11=1,1,0))&lt;Y7,(1-SUM(AA$6,AA$12:AA$21))*$M7/SUM($M$7*IF($X$7=1,1,0),$M$8*IF($X$8=1,1,0),$M$9*IF($X$9=1,1,0),$M$10*IF($X$10=1,1,0),$M$11*IF($X$11=1,1,0)),Y7),0),0)</f>
        <v>0</v>
      </c>
      <c r="AB7" s="124">
        <f>IF($Y7=0,0,AC7/$Y7)</f>
        <v>0</v>
      </c>
      <c r="AC7" s="120">
        <f>IF($X7&lt;3,IF(SUM(AC$6,AC$12:AC$21)&lt;1,IF(SUM(AC$6,AC$12:AC$21)+SUM((Y$7-AA$7)*IF($X$7&lt;3,1,0),(Y$8-AA$8)*IF($X$8&lt;3,1,0),(Y$9-AA$9)*IF($X$9&lt;3,1,0),(Y$10-AA$10)*IF($X$10&lt;3,1,0),(Y$11-AA$11)*IF($X$11&lt;3,1,0))&lt;1,Y7-AA7,IF((1-SUM(AC$6,AC$12:AC$21))*$M7/SUM($M$7*IF($X$7&lt;3,1,0),$M$8*IF($X$8&lt;3,1,0),$M$9*IF($X$9&lt;3,1,0),$M$10*IF($X$10&lt;3,1,0),$M$11*IF($X$11&lt;3,1,0))&lt;Y7-AA7,(1-SUM(AC$6,AC$12:AC$21))*$M7/SUM($M$7*IF($X$7&lt;3,1,0),$M$8*IF($X$8&lt;3,1,0),$M$9*IF($X$9&lt;3,1,0),$M$10*IF($X$10&lt;3,1,0),$M$11*IF($X$11&lt;3,1,0)),Y7-AA7)),0),0)</f>
        <v>0</v>
      </c>
      <c r="AD7" s="124">
        <f>IF($Y7=0,0,AE7/$Y7)</f>
        <v>0</v>
      </c>
      <c r="AE7" s="120">
        <f>IF($X7&lt;4,IF(SUM(AE$6:AE$6,AE$12:AE$21)&lt;1,IF(SUM(AE$6:AE$6,AE$12:AE$21)+SUM((Y$7-AA$7-AC$7)*IF($X$7&lt;3,1,0),(Y$8-AA$8-AC$8)*IF($X$8&lt;3,1,0),(Y$9-AA$9-AC$9)*IF($X$9&lt;3,1,0),(Y$10-AA$10-AC$10)*IF($X$10&lt;3,1,0),(Y$11-AA$11-AC$11)*IF($X$11&lt;3,1,0))&lt;1,Y7-AA7-AC7,IF((1-SUM(AE$6:AE$6,AE$12:AE$21))*$M7/SUM($M$7*IF($X$7&lt;4,1,0),$M$8*IF($X$8&lt;4,1,0),$M$9*IF($X$9&lt;4,1,0),$M$10*IF($X$10&lt;4,1,0),$M$11*IF($X$11&lt;4,1,0))&lt;Y7-AA7-AC7,(1-SUM(AE$6:AE$6,AE$12:AE$21))*$M7/SUM($M$7*IF($X$7&lt;4,1,0),$M$8*IF($X$8&lt;4,1,0),$M$9*IF($X$9&lt;4,1,0),$M$10*IF($X$10&lt;4,1,0),$M$11*IF($X$11&lt;4,1,0)),Y7-AA7-AC7)),0),0)</f>
        <v>0</v>
      </c>
      <c r="AF7" s="121">
        <f t="shared" ref="AF7:AF21" si="10">1-SUM(Z7,AB7,AD7)</f>
        <v>1</v>
      </c>
      <c r="AG7" s="120">
        <f t="shared" ref="AG7:AG21" si="11">$M7*AF7*4</f>
        <v>0.16820776255707764</v>
      </c>
      <c r="AH7" s="122">
        <f t="shared" ref="AH7:AH22" si="12">SUM(Z7,AB7,AD7,AF7)</f>
        <v>1</v>
      </c>
      <c r="AI7" s="184">
        <f t="shared" ref="AI7:AI22" si="13">SUM(AA7,AC7,AE7,AG7)/4</f>
        <v>4.2051940639269411E-2</v>
      </c>
      <c r="AJ7" s="119">
        <f t="shared" ref="AJ7:AJ23" si="14">(AA7+AC7)/2</f>
        <v>0</v>
      </c>
      <c r="AK7" s="118">
        <f t="shared" ref="AK7:AK23" si="15">(AE7+AG7)/2</f>
        <v>8.4103881278538822E-2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100">
        <f>IF([1]Summ!$H1046="",0,[1]Summ!$H1046)</f>
        <v>4.1666666666666664E-2</v>
      </c>
      <c r="C8" s="100">
        <f>IF([1]Summ!$I1046="",0,[1]Summ!$I1046)</f>
        <v>0</v>
      </c>
      <c r="D8" s="24">
        <f t="shared" si="0"/>
        <v>4.1666666666666664E-2</v>
      </c>
      <c r="E8" s="75">
        <f>Poor!E8</f>
        <v>1</v>
      </c>
      <c r="F8" s="22" t="s">
        <v>24</v>
      </c>
      <c r="H8" s="24">
        <f t="shared" si="1"/>
        <v>1</v>
      </c>
      <c r="I8" s="22">
        <f t="shared" si="2"/>
        <v>4.1666666666666664E-2</v>
      </c>
      <c r="J8" s="24">
        <f t="shared" si="3"/>
        <v>4.1666666666666664E-2</v>
      </c>
      <c r="K8" s="22">
        <f t="shared" si="4"/>
        <v>4.1666666666666664E-2</v>
      </c>
      <c r="L8" s="22">
        <f t="shared" si="5"/>
        <v>4.1666666666666664E-2</v>
      </c>
      <c r="M8" s="226">
        <f t="shared" si="6"/>
        <v>4.1666666666666664E-2</v>
      </c>
      <c r="N8" s="231">
        <v>1</v>
      </c>
      <c r="O8" s="2"/>
      <c r="P8" s="22"/>
      <c r="Q8" s="59" t="s">
        <v>74</v>
      </c>
      <c r="R8" s="224">
        <f>IF($B$68=0,0,(SUMIF($N$6:$N$20,$U8,K$6:K$20)+SUMIF($N$78:$N$100,$U8,K$78:K$100))*$I$70*Poor!$B$68/$B$68)</f>
        <v>168.00000000000003</v>
      </c>
      <c r="S8" s="224">
        <f>IF($B$68=0,0,(SUMIF($N$6:$N$20,$U8,L$6:L$20)+SUMIF($N$78:$N$100,$U8,L$78:L$100))*$I$70*Poor!$B$68/$B$68)</f>
        <v>162.00000000000003</v>
      </c>
      <c r="T8" s="224">
        <f>IF($B$68=0,0,(SUMIF($N$6:$N$20,$U8,M$6:M$20)+SUMIF($N$78:$N$100,$U8,M$78:M$100))*$I$70*Poor!$B$68/$B$68)</f>
        <v>160.24100441315127</v>
      </c>
      <c r="U8" s="225">
        <v>2</v>
      </c>
      <c r="V8" s="56"/>
      <c r="W8" s="114"/>
      <c r="X8" s="117">
        <f>Poor!X8</f>
        <v>1</v>
      </c>
      <c r="Y8" s="184">
        <f t="shared" si="9"/>
        <v>0.16666666666666666</v>
      </c>
      <c r="Z8" s="124">
        <f>IF($Y8=0,0,AA8/$Y8)</f>
        <v>0.67937700962602343</v>
      </c>
      <c r="AA8" s="120">
        <f>IF($X8=1,IF(SUM(AA$6,AA$12:AA$21)&lt;1,IF((1-SUM(AA$6,AA$12:AA$21))*$M8/SUM($M$7*IF($X$7=1,1,0),$M$8*IF($X$8=1,1,0),$M$9*IF($X$9=1,1,0),$M$10*IF($X$10=1,1,0),$M$11*IF($X$11=1,1,0))&lt;Y8,(1-SUM(AA$6,AA$12:AA$21))*$M8/SUM($M$7*IF($X$7=1,1,0),$M$8*IF($X$8=1,1,0),$M$9*IF($X$9=1,1,0),$M$10*IF($X$10=1,1,0),$M$11*IF($X$11=1,1,0)),Y8),0),0)</f>
        <v>0.11322950160433723</v>
      </c>
      <c r="AB8" s="124">
        <f>IF($Y8=0,0,AC8/$Y8)</f>
        <v>0.32062299037397657</v>
      </c>
      <c r="AC8" s="120">
        <f>IF($X8&lt;3,IF(SUM(AC$6,AC$12:AC$21)&lt;1,IF(SUM(AC$6,AC$12:AC$21)+SUM((Y$7-AA$7)*IF($X$7&lt;3,1,0),(Y$8-AA$8)*IF($X$8&lt;3,1,0),(Y$9-AA$9)*IF($X$9&lt;3,1,0),(Y$10-AA$10)*IF($X$10&lt;3,1,0),(Y$11-AA$11)*IF($X$11&lt;3,1,0))&lt;1,Y8-AA8,IF((1-SUM(AC$6,AC$12:AC$21))*$M8/SUM($M$7*IF($X$7&lt;3,1,0),$M$8*IF($X$8&lt;3,1,0),$M$9*IF($X$9&lt;3,1,0),$M$10*IF($X$10&lt;3,1,0),$M$11*IF($X$11&lt;3,1,0))&lt;Y8-AA8,(1-SUM(AC$6,AC$12:AC$21))*$M8/SUM($M$7*IF($X$7&lt;3,1,0),$M$8*IF($X$8&lt;3,1,0),$M$9*IF($X$9&lt;3,1,0),$M$10*IF($X$10&lt;3,1,0),$M$11*IF($X$11&lt;3,1,0)),Y8-AA8)),0),0)</f>
        <v>5.3437165062329428E-2</v>
      </c>
      <c r="AD8" s="124">
        <f>IF($Y8=0,0,AE8/$Y8)</f>
        <v>0</v>
      </c>
      <c r="AE8" s="120">
        <f>IF($X8&lt;4,IF(SUM(AE$6:AE$6,AE$12:AE$21)&lt;1,IF(SUM(AE$6:AE$6,AE$12:AE$21)+SUM((Y$7-AA$7-AC$7)*IF($X$7&lt;3,1,0),(Y$8-AA$8-AC$8)*IF($X$8&lt;3,1,0),(Y$9-AA$9-AC$9)*IF($X$9&lt;3,1,0),(Y$10-AA$10-AC$10)*IF($X$10&lt;3,1,0),(Y$11-AA$11-AC$11)*IF($X$11&lt;3,1,0))&lt;1,Y8-AA8-AC8,IF((1-SUM(AE$6:AE$6,AE$12:AE$21))*$M8/SUM($M$7*IF($X$7&lt;4,1,0),$M$8*IF($X$8&lt;4,1,0),$M$9*IF($X$9&lt;4,1,0),$M$10*IF($X$10&lt;4,1,0),$M$11*IF($X$11&lt;4,1,0))&lt;Y8-AA8-AC8,(1-SUM(AE$6:AE$6,AE$12:AE$21))*$M8/SUM($M$7*IF($X$7&lt;4,1,0),$M$8*IF($X$8&lt;4,1,0),$M$9*IF($X$9&lt;4,1,0),$M$10*IF($X$10&lt;4,1,0),$M$11*IF($X$11&lt;4,1,0)),Y8-AA8-AC8)),0),0)</f>
        <v>0</v>
      </c>
      <c r="AF8" s="121">
        <f t="shared" si="10"/>
        <v>0</v>
      </c>
      <c r="AG8" s="120">
        <f t="shared" si="11"/>
        <v>0</v>
      </c>
      <c r="AH8" s="122">
        <f t="shared" si="12"/>
        <v>1</v>
      </c>
      <c r="AI8" s="184">
        <f t="shared" si="13"/>
        <v>4.1666666666666664E-2</v>
      </c>
      <c r="AJ8" s="119">
        <f t="shared" si="14"/>
        <v>8.3333333333333329E-2</v>
      </c>
      <c r="AK8" s="118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0">
        <f>IF([1]Summ!$H1047="",0,[1]Summ!$H1047)</f>
        <v>0.11829143835616435</v>
      </c>
      <c r="C9" s="100">
        <f>IF([1]Summ!$I1047="",0,[1]Summ!$I1047)</f>
        <v>0</v>
      </c>
      <c r="D9" s="24">
        <f t="shared" si="0"/>
        <v>0.11829143835616435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0.11829143835616435</v>
      </c>
      <c r="J9" s="24">
        <f t="shared" si="3"/>
        <v>0.11829143835616435</v>
      </c>
      <c r="K9" s="22">
        <f t="shared" si="4"/>
        <v>0.11829143835616435</v>
      </c>
      <c r="L9" s="22">
        <f t="shared" si="5"/>
        <v>0.11829143835616435</v>
      </c>
      <c r="M9" s="226">
        <f t="shared" si="6"/>
        <v>0.11829143835616435</v>
      </c>
      <c r="N9" s="231">
        <v>1</v>
      </c>
      <c r="O9" s="2"/>
      <c r="P9" s="22"/>
      <c r="Q9" s="59" t="s">
        <v>75</v>
      </c>
      <c r="R9" s="224">
        <f>IF($B$68=0,0,(SUMIF($N$6:$N$20,$U9,K$6:K$20)+SUMIF($N$78:$N$100,$U9,K$78:K$100))*$I$70*Poor!$B$68/$B$68)</f>
        <v>938.42932167237541</v>
      </c>
      <c r="S9" s="224">
        <f>IF($B$68=0,0,(SUMIF($N$6:$N$20,$U9,L$6:L$20)+SUMIF($N$78:$N$100,$U9,L$78:L$100))*$I$70*Poor!$B$68/$B$68)</f>
        <v>938.42932167237541</v>
      </c>
      <c r="T9" s="224">
        <f>IF($B$68=0,0,(SUMIF($N$6:$N$20,$U9,M$6:M$20)+SUMIF($N$78:$N$100,$U9,M$78:M$100))*$I$70*Poor!$B$68/$B$68)</f>
        <v>938.42932167237541</v>
      </c>
      <c r="U9" s="225">
        <v>3</v>
      </c>
      <c r="V9" s="56"/>
      <c r="W9" s="114"/>
      <c r="X9" s="117">
        <f>Poor!X9</f>
        <v>1</v>
      </c>
      <c r="Y9" s="184">
        <f t="shared" si="9"/>
        <v>0.47316575342465739</v>
      </c>
      <c r="Z9" s="124">
        <f>IF($Y9=0,0,AA9/$Y9)</f>
        <v>0.67937700962602343</v>
      </c>
      <c r="AA9" s="120">
        <f>IF($X9=1,IF(SUM(AA$6,AA$12:AA$21)&lt;1,IF((1-SUM(AA$6,AA$12:AA$21))*$M9/SUM($M$7*IF($X$7=1,1,0),$M$8*IF($X$8=1,1,0),$M$9*IF($X$9=1,1,0),$M$10*IF($X$10=1,1,0),$M$11*IF($X$11=1,1,0))&lt;Y9,(1-SUM(AA$6,AA$12:AA$21))*$M9/SUM($M$7*IF($X$7=1,1,0),$M$8*IF($X$8=1,1,0),$M$9*IF($X$9=1,1,0),$M$10*IF($X$10=1,1,0),$M$11*IF($X$11=1,1,0)),Y9),0),0)</f>
        <v>0.32145793461908811</v>
      </c>
      <c r="AB9" s="124">
        <f>IF($Y9=0,0,AC9/$Y9)</f>
        <v>0.32062299037397651</v>
      </c>
      <c r="AC9" s="120">
        <f>IF($X9&lt;3,IF(SUM(AC$6,AC$12:AC$21)&lt;1,IF(SUM(AC$6,AC$12:AC$21)+SUM((Y$7-AA$7)*IF($X$7&lt;3,1,0),(Y$8-AA$8)*IF($X$8&lt;3,1,0),(Y$9-AA$9)*IF($X$9&lt;3,1,0),(Y$10-AA$10)*IF($X$10&lt;3,1,0),(Y$11-AA$11)*IF($X$11&lt;3,1,0))&lt;1,Y9-AA9,IF((1-SUM(AC$6,AC$12:AC$21))*$M9/SUM($M$7*IF($X$7&lt;3,1,0),$M$8*IF($X$8&lt;3,1,0),$M$9*IF($X$9&lt;3,1,0),$M$10*IF($X$10&lt;3,1,0),$M$11*IF($X$11&lt;3,1,0))&lt;Y9-AA9,(1-SUM(AC$6,AC$12:AC$21))*$M9/SUM($M$7*IF($X$7&lt;3,1,0),$M$8*IF($X$8&lt;3,1,0),$M$9*IF($X$9&lt;3,1,0),$M$10*IF($X$10&lt;3,1,0),$M$11*IF($X$11&lt;3,1,0)),Y9-AA9)),0),0)</f>
        <v>0.15170781880556927</v>
      </c>
      <c r="AD9" s="124">
        <f>IF($Y9=0,0,AE9/$Y9)</f>
        <v>0</v>
      </c>
      <c r="AE9" s="120">
        <f>IF($X9&lt;4,IF(SUM(AE$6:AE$6,AE$12:AE$21)&lt;1,IF(SUM(AE$6:AE$6,AE$12:AE$21)+SUM((Y$7-AA$7-AC$7)*IF($X$7&lt;3,1,0),(Y$8-AA$8-AC$8)*IF($X$8&lt;3,1,0),(Y$9-AA$9-AC$9)*IF($X$9&lt;3,1,0),(Y$10-AA$10-AC$10)*IF($X$10&lt;3,1,0),(Y$11-AA$11-AC$11)*IF($X$11&lt;3,1,0))&lt;1,Y9-AA9-AC9,IF((1-SUM(AE$6:AE$6,AE$12:AE$21))*$M9/SUM($M$7*IF($X$7&lt;4,1,0),$M$8*IF($X$8&lt;4,1,0),$M$9*IF($X$9&lt;4,1,0),$M$10*IF($X$10&lt;4,1,0),$M$11*IF($X$11&lt;4,1,0))&lt;Y9-AA9-AC9,(1-SUM(AE$6:AE$6,AE$12:AE$21))*$M9/SUM($M$7*IF($X$7&lt;4,1,0),$M$8*IF($X$8&lt;4,1,0),$M$9*IF($X$9&lt;4,1,0),$M$10*IF($X$10&lt;4,1,0),$M$11*IF($X$11&lt;4,1,0)),Y9-AA9-AC9)),0),0)</f>
        <v>0</v>
      </c>
      <c r="AF9" s="121">
        <f t="shared" si="10"/>
        <v>0</v>
      </c>
      <c r="AG9" s="120">
        <f t="shared" si="11"/>
        <v>0</v>
      </c>
      <c r="AH9" s="122">
        <f t="shared" si="12"/>
        <v>1</v>
      </c>
      <c r="AI9" s="184">
        <f t="shared" si="13"/>
        <v>0.11829143835616435</v>
      </c>
      <c r="AJ9" s="119">
        <f t="shared" si="14"/>
        <v>0.23658287671232869</v>
      </c>
      <c r="AK9" s="118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Cowpeas: kg produced</v>
      </c>
      <c r="B10" s="100">
        <f>IF([1]Summ!$H1048="",0,[1]Summ!$H1048)</f>
        <v>3.5454844333748445E-2</v>
      </c>
      <c r="C10" s="100">
        <f>IF([1]Summ!$I1048="",0,[1]Summ!$I1048)</f>
        <v>0</v>
      </c>
      <c r="D10" s="24">
        <f t="shared" si="0"/>
        <v>3.5454844333748445E-2</v>
      </c>
      <c r="E10" s="75">
        <f>Poor!E10</f>
        <v>1</v>
      </c>
      <c r="H10" s="24">
        <f t="shared" si="1"/>
        <v>1</v>
      </c>
      <c r="I10" s="22">
        <f t="shared" si="2"/>
        <v>3.5454844333748445E-2</v>
      </c>
      <c r="J10" s="24">
        <f t="shared" si="3"/>
        <v>3.5454844333748445E-2</v>
      </c>
      <c r="K10" s="22">
        <f t="shared" si="4"/>
        <v>3.5454844333748445E-2</v>
      </c>
      <c r="L10" s="22">
        <f t="shared" si="5"/>
        <v>3.5454844333748445E-2</v>
      </c>
      <c r="M10" s="226">
        <f t="shared" si="6"/>
        <v>3.5454844333748445E-2</v>
      </c>
      <c r="N10" s="231">
        <v>1</v>
      </c>
      <c r="O10" s="2"/>
      <c r="P10" s="22"/>
      <c r="Q10" s="59" t="s">
        <v>76</v>
      </c>
      <c r="R10" s="224">
        <f>IF($B$68=0,0,(SUMIF($N$6:$N$20,$U10,K$6:K$20)+SUMIF($N$78:$N$100,$U10,K$78:K$100))*$I$70*Poor!$B$68/$B$68)</f>
        <v>0</v>
      </c>
      <c r="S10" s="224">
        <f>IF($B$68=0,0,(SUMIF($N$6:$N$20,$U10,L$6:L$20)+SUMIF($N$78:$N$100,$U10,L$78:L$100))*$I$70*Poor!$B$68/$B$68)</f>
        <v>0</v>
      </c>
      <c r="T10" s="224">
        <f>IF($B$68=0,0,(SUMIF($N$6:$N$20,$U10,M$6:M$20)+SUMIF($N$78:$N$100,$U10,M$78:M$100))*$I$70*Poor!$B$68/$B$68)</f>
        <v>0</v>
      </c>
      <c r="U10" s="225">
        <v>4</v>
      </c>
      <c r="V10" s="56"/>
      <c r="W10" s="114"/>
      <c r="X10" s="117">
        <f>Poor!X10</f>
        <v>1</v>
      </c>
      <c r="Y10" s="184">
        <f t="shared" si="9"/>
        <v>0.14181937733499378</v>
      </c>
      <c r="Z10" s="124">
        <f>IF($Y10=0,0,AA10/$Y10)</f>
        <v>0.67937700962602343</v>
      </c>
      <c r="AA10" s="120">
        <f>IF($X10=1,IF(SUM(AA$6,AA$12:AA$21)&lt;1,IF((1-SUM(AA$6,AA$12:AA$21))*$M10/SUM($M$7*IF($X$7=1,1,0),$M$8*IF($X$8=1,1,0),$M$9*IF($X$9=1,1,0),$M$10*IF($X$10=1,1,0),$M$11*IF($X$11=1,1,0))&lt;Y10,(1-SUM(AA$6,AA$12:AA$21))*$M10/SUM($M$7*IF($X$7=1,1,0),$M$8*IF($X$8=1,1,0),$M$9*IF($X$9=1,1,0),$M$10*IF($X$10=1,1,0),$M$11*IF($X$11=1,1,0)),Y10),0),0)</f>
        <v>9.6348824480872716E-2</v>
      </c>
      <c r="AB10" s="124">
        <f>IF($Y10=0,0,AC10/$Y10)</f>
        <v>0.32062299037397657</v>
      </c>
      <c r="AC10" s="120">
        <f>IF($X10&lt;3,IF(SUM(AC$6,AC$12:AC$21)&lt;1,IF(SUM(AC$6,AC$12:AC$21)+SUM((Y$7-AA$7)*IF($X$7&lt;3,1,0),(Y$8-AA$8)*IF($X$8&lt;3,1,0),(Y$9-AA$9)*IF($X$9&lt;3,1,0),(Y$10-AA$10)*IF($X$10&lt;3,1,0),(Y$11-AA$11)*IF($X$11&lt;3,1,0))&lt;1,Y10-AA10,IF((1-SUM(AC$6,AC$12:AC$21))*$M10/SUM($M$7*IF($X$7&lt;3,1,0),$M$8*IF($X$8&lt;3,1,0),$M$9*IF($X$9&lt;3,1,0),$M$10*IF($X$10&lt;3,1,0),$M$11*IF($X$11&lt;3,1,0))&lt;Y10-AA10,(1-SUM(AC$6,AC$12:AC$21))*$M10/SUM($M$7*IF($X$7&lt;3,1,0),$M$8*IF($X$8&lt;3,1,0),$M$9*IF($X$9&lt;3,1,0),$M$10*IF($X$10&lt;3,1,0),$M$11*IF($X$11&lt;3,1,0)),Y10-AA10)),0),0)</f>
        <v>4.5470552854121063E-2</v>
      </c>
      <c r="AD10" s="124">
        <f>IF($Y10=0,0,AE10/$Y10)</f>
        <v>0</v>
      </c>
      <c r="AE10" s="120">
        <f>IF($X10&lt;4,IF(SUM(AE$6:AE$6,AE$12:AE$21)&lt;1,IF(SUM(AE$6:AE$6,AE$12:AE$21)+SUM((Y$7-AA$7-AC$7)*IF($X$7&lt;3,1,0),(Y$8-AA$8-AC$8)*IF($X$8&lt;3,1,0),(Y$9-AA$9-AC$9)*IF($X$9&lt;3,1,0),(Y$10-AA$10-AC$10)*IF($X$10&lt;3,1,0),(Y$11-AA$11-AC$11)*IF($X$11&lt;3,1,0))&lt;1,Y10-AA10-AC10,IF((1-SUM(AE$6:AE$6,AE$12:AE$21))*$M10/SUM($M$7*IF($X$7&lt;4,1,0),$M$8*IF($X$8&lt;4,1,0),$M$9*IF($X$9&lt;4,1,0),$M$10*IF($X$10&lt;4,1,0),$M$11*IF($X$11&lt;4,1,0))&lt;Y10-AA10-AC10,(1-SUM(AE$6:AE$6,AE$12:AE$21))*$M10/SUM($M$7*IF($X$7&lt;4,1,0),$M$8*IF($X$8&lt;4,1,0),$M$9*IF($X$9&lt;4,1,0),$M$10*IF($X$10&lt;4,1,0),$M$11*IF($X$11&lt;4,1,0)),Y10-AA10-AC10)),0),0)</f>
        <v>0</v>
      </c>
      <c r="AF10" s="121">
        <f t="shared" si="10"/>
        <v>0</v>
      </c>
      <c r="AG10" s="120">
        <f t="shared" si="11"/>
        <v>0</v>
      </c>
      <c r="AH10" s="122">
        <f t="shared" si="12"/>
        <v>1</v>
      </c>
      <c r="AI10" s="184">
        <f t="shared" si="13"/>
        <v>3.5454844333748445E-2</v>
      </c>
      <c r="AJ10" s="119">
        <f t="shared" si="14"/>
        <v>7.090968866749689E-2</v>
      </c>
      <c r="AK10" s="118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100">
        <f>IF([1]Summ!$H1049="",0,[1]Summ!$H1049)</f>
        <v>1.3992932129514322E-2</v>
      </c>
      <c r="C11" s="100">
        <f>IF([1]Summ!$I1049="",0,[1]Summ!$I1049)</f>
        <v>0</v>
      </c>
      <c r="D11" s="24">
        <f t="shared" si="0"/>
        <v>1.3992932129514322E-2</v>
      </c>
      <c r="E11" s="75">
        <f>Poor!E11</f>
        <v>1</v>
      </c>
      <c r="H11" s="24">
        <f t="shared" si="1"/>
        <v>1</v>
      </c>
      <c r="I11" s="22">
        <f t="shared" si="2"/>
        <v>1.3992932129514322E-2</v>
      </c>
      <c r="J11" s="24">
        <f t="shared" si="3"/>
        <v>1.3992932129514322E-2</v>
      </c>
      <c r="K11" s="22">
        <f t="shared" si="4"/>
        <v>1.3992932129514322E-2</v>
      </c>
      <c r="L11" s="22">
        <f t="shared" si="5"/>
        <v>1.3992932129514322E-2</v>
      </c>
      <c r="M11" s="226">
        <f t="shared" si="6"/>
        <v>1.3992932129514322E-2</v>
      </c>
      <c r="N11" s="231">
        <v>1</v>
      </c>
      <c r="O11" s="2"/>
      <c r="P11" s="22"/>
      <c r="Q11" s="59" t="s">
        <v>77</v>
      </c>
      <c r="R11" s="224">
        <f>IF($B$68=0,0,(SUMIF($N$6:$N$20,$U11,K$6:K$20)+SUMIF($N$78:$N$100,$U11,K$78:K$100))*$I$70*Poor!$B$68/$B$68)</f>
        <v>9520</v>
      </c>
      <c r="S11" s="224">
        <f>IF($B$68=0,0,(SUMIF($N$6:$N$20,$U11,L$6:L$20)+SUMIF($N$78:$N$100,$U11,L$78:L$100))*$I$70*Poor!$B$68/$B$68)</f>
        <v>9269.0000000000018</v>
      </c>
      <c r="T11" s="224">
        <f>IF($B$68=0,0,(SUMIF($N$6:$N$20,$U11,M$6:M$20)+SUMIF($N$78:$N$100,$U11,M$78:M$100))*$I$70*Poor!$B$68/$B$68)</f>
        <v>9168.3572216388839</v>
      </c>
      <c r="U11" s="225">
        <v>5</v>
      </c>
      <c r="V11" s="56"/>
      <c r="W11" s="114"/>
      <c r="X11" s="117">
        <f>Poor!X11</f>
        <v>1</v>
      </c>
      <c r="Y11" s="184">
        <f t="shared" si="9"/>
        <v>5.597172851805729E-2</v>
      </c>
      <c r="Z11" s="124">
        <f>IF($Y11=0,0,AA11/$Y11)</f>
        <v>0.67937700962602332</v>
      </c>
      <c r="AA11" s="120">
        <f>IF($X11=1,IF(SUM(AA$6,AA$12:AA$21)&lt;1,IF((1-SUM(AA$6,AA$12:AA$21))*$M11/SUM($M$7*IF($X$7=1,1,0),$M$8*IF($X$8=1,1,0),$M$9*IF($X$9=1,1,0),$M$10*IF($X$10=1,1,0),$M$11*IF($X$11=1,1,0))&lt;Y11,(1-SUM(AA$6,AA$12:AA$21))*$M11/SUM($M$7*IF($X$7=1,1,0),$M$8*IF($X$8=1,1,0),$M$9*IF($X$9=1,1,0),$M$10*IF($X$10=1,1,0),$M$11*IF($X$11=1,1,0)),Y11),0),0)</f>
        <v>3.8025905544197373E-2</v>
      </c>
      <c r="AB11" s="124">
        <f>IF($Y11=0,0,AC11/$Y11)</f>
        <v>0.32062299037397662</v>
      </c>
      <c r="AC11" s="120">
        <f>IF($X11&lt;3,IF(SUM(AC$6,AC$12:AC$21)&lt;1,IF(SUM(AC$6,AC$12:AC$21)+SUM((Y$7-AA$7)*IF($X$7&lt;3,1,0),(Y$8-AA$8)*IF($X$8&lt;3,1,0),(Y$9-AA$9)*IF($X$9&lt;3,1,0),(Y$10-AA$10)*IF($X$10&lt;3,1,0),(Y$11-AA$11)*IF($X$11&lt;3,1,0))&lt;1,Y11-AA11,IF((1-SUM(AC$6,AC$12:AC$21))*$M11/SUM($M$7*IF($X$7&lt;3,1,0),$M$8*IF($X$8&lt;3,1,0),$M$9*IF($X$9&lt;3,1,0),$M$10*IF($X$10&lt;3,1,0),$M$11*IF($X$11&lt;3,1,0))&lt;Y11-AA11,(1-SUM(AC$6,AC$12:AC$21))*$M11/SUM($M$7*IF($X$7&lt;3,1,0),$M$8*IF($X$8&lt;3,1,0),$M$9*IF($X$9&lt;3,1,0),$M$10*IF($X$10&lt;3,1,0),$M$11*IF($X$11&lt;3,1,0)),Y11-AA11)),0),0)</f>
        <v>1.7945822973859916E-2</v>
      </c>
      <c r="AD11" s="124">
        <f>IF($Y11=0,0,AE11/$Y11)</f>
        <v>0</v>
      </c>
      <c r="AE11" s="120">
        <f>IF($X11&lt;4,IF(SUM(AE$6:AE$6,AE$12:AE$21)&lt;1,IF(SUM(AE$6:AE$6,AE$12:AE$21)+SUM((Y$7-AA$7-AC$7)*IF($X$7&lt;3,1,0),(Y$8-AA$8-AC$8)*IF($X$8&lt;3,1,0),(Y$9-AA$9-AC$9)*IF($X$9&lt;3,1,0),(Y$10-AA$10-AC$10)*IF($X$10&lt;3,1,0),(Y$11-AA$11-AC$11)*IF($X$11&lt;3,1,0))&lt;1,Y11-AA11-AC11,IF((1-SUM(AE$6:AE$6,AE$12:AE$21))*$M11/SUM($M$7*IF($X$7&lt;4,1,0),$M$8*IF($X$8&lt;4,1,0),$M$9*IF($X$9&lt;4,1,0),$M$10*IF($X$10&lt;4,1,0),$M$11*IF($X$11&lt;4,1,0))&lt;Y11-AA11-AC11,(1-SUM(AE$6:AE$6,AE$12:AE$21))*$M11/SUM($M$7*IF($X$7&lt;4,1,0),$M$8*IF($X$8&lt;4,1,0),$M$9*IF($X$9&lt;4,1,0),$M$10*IF($X$10&lt;4,1,0),$M$11*IF($X$11&lt;4,1,0)),Y11-AA11-AC11)),0),0)</f>
        <v>0</v>
      </c>
      <c r="AF11" s="121">
        <f t="shared" si="10"/>
        <v>0</v>
      </c>
      <c r="AG11" s="120">
        <f t="shared" si="11"/>
        <v>0</v>
      </c>
      <c r="AH11" s="122">
        <f t="shared" si="12"/>
        <v>1</v>
      </c>
      <c r="AI11" s="184">
        <f t="shared" si="13"/>
        <v>1.3992932129514322E-2</v>
      </c>
      <c r="AJ11" s="119">
        <f t="shared" si="14"/>
        <v>2.7985864259028645E-2</v>
      </c>
      <c r="AK11" s="118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Pumpkin: kg produce</v>
      </c>
      <c r="B12" s="100">
        <f>IF([1]Summ!$H1050="",0,[1]Summ!$H1050)</f>
        <v>1.5670402656704026E-3</v>
      </c>
      <c r="C12" s="100">
        <f>IF([1]Summ!$I1050="",0,[1]Summ!$I1050)</f>
        <v>0</v>
      </c>
      <c r="D12" s="24">
        <f t="shared" si="0"/>
        <v>1.5670402656704026E-3</v>
      </c>
      <c r="E12" s="75">
        <f>Poor!E12</f>
        <v>1</v>
      </c>
      <c r="H12" s="24">
        <f t="shared" si="1"/>
        <v>1</v>
      </c>
      <c r="I12" s="22">
        <f t="shared" si="2"/>
        <v>1.5670402656704026E-3</v>
      </c>
      <c r="J12" s="24">
        <f t="shared" si="3"/>
        <v>1.5670402656704026E-3</v>
      </c>
      <c r="K12" s="22">
        <f t="shared" si="4"/>
        <v>1.5670402656704026E-3</v>
      </c>
      <c r="L12" s="22">
        <f t="shared" si="5"/>
        <v>1.5670402656704026E-3</v>
      </c>
      <c r="M12" s="226">
        <f t="shared" si="6"/>
        <v>1.5670402656704026E-3</v>
      </c>
      <c r="N12" s="231">
        <v>1</v>
      </c>
      <c r="O12" s="2"/>
      <c r="P12" s="22"/>
      <c r="Q12" s="125" t="s">
        <v>126</v>
      </c>
      <c r="R12" s="224">
        <f>IF($B$68=0,0,(SUMIF($N$6:$N$20,$U12,K$6:K$20)+SUMIF($N$78:$N$100,$U12,K$78:K$100))*$I$70*Poor!$B$68/$B$68)</f>
        <v>0</v>
      </c>
      <c r="S12" s="224">
        <f>IF($B$68=0,0,(SUMIF($N$6:$N$20,$U12,L$6:L$20)+SUMIF($N$78:$N$100,$U12,L$78:L$100))*$I$70*Poor!$B$68/$B$68)</f>
        <v>0</v>
      </c>
      <c r="T12" s="224">
        <f>IF($B$68=0,0,(SUMIF($N$6:$N$20,$U12,M$6:M$20)+SUMIF($N$78:$N$100,$U12,M$78:M$100))*$I$70*Poor!$B$68/$B$68)</f>
        <v>0</v>
      </c>
      <c r="U12" s="225">
        <v>6</v>
      </c>
      <c r="V12" s="56"/>
      <c r="W12" s="116"/>
      <c r="X12" s="117"/>
      <c r="Y12" s="184">
        <f t="shared" si="9"/>
        <v>6.2681610626816103E-3</v>
      </c>
      <c r="Z12" s="155">
        <f>Poor!Z12</f>
        <v>0</v>
      </c>
      <c r="AA12" s="120">
        <f>$M12*Z12*4</f>
        <v>0</v>
      </c>
      <c r="AB12" s="155">
        <f>Poor!AB12</f>
        <v>0</v>
      </c>
      <c r="AC12" s="120">
        <f>$M12*AB12*4</f>
        <v>0</v>
      </c>
      <c r="AD12" s="155">
        <f>Poor!AD12</f>
        <v>0.67</v>
      </c>
      <c r="AE12" s="120">
        <f>$M12*AD12*4</f>
        <v>4.1996679119966794E-3</v>
      </c>
      <c r="AF12" s="121">
        <f>1-SUM(Z12,AB12,AD12)</f>
        <v>0.32999999999999996</v>
      </c>
      <c r="AG12" s="120">
        <f>$M12*AF12*4</f>
        <v>2.0684931506849314E-3</v>
      </c>
      <c r="AH12" s="122">
        <f t="shared" si="12"/>
        <v>1</v>
      </c>
      <c r="AI12" s="184">
        <f t="shared" si="13"/>
        <v>1.5670402656704028E-3</v>
      </c>
      <c r="AJ12" s="119">
        <f t="shared" si="14"/>
        <v>0</v>
      </c>
      <c r="AK12" s="118">
        <f t="shared" si="15"/>
        <v>3.1340805313408056E-3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Water melon: no. local meas</v>
      </c>
      <c r="B13" s="100">
        <f>IF([1]Summ!$H1051="",0,[1]Summ!$H1051)</f>
        <v>5.9386674968866749E-3</v>
      </c>
      <c r="C13" s="100">
        <f>IF([1]Summ!$I1051="",0,[1]Summ!$I1051)</f>
        <v>0</v>
      </c>
      <c r="D13" s="24">
        <f t="shared" si="0"/>
        <v>5.9386674968866749E-3</v>
      </c>
      <c r="E13" s="75">
        <f>Poor!E13</f>
        <v>1</v>
      </c>
      <c r="H13" s="24">
        <f t="shared" si="1"/>
        <v>1</v>
      </c>
      <c r="I13" s="22">
        <f t="shared" si="2"/>
        <v>5.9386674968866749E-3</v>
      </c>
      <c r="J13" s="24">
        <f t="shared" si="3"/>
        <v>5.9386674968866749E-3</v>
      </c>
      <c r="K13" s="22">
        <f t="shared" si="4"/>
        <v>5.9386674968866749E-3</v>
      </c>
      <c r="L13" s="22">
        <f t="shared" si="5"/>
        <v>5.9386674968866749E-3</v>
      </c>
      <c r="M13" s="227">
        <f t="shared" si="6"/>
        <v>5.9386674968866749E-3</v>
      </c>
      <c r="N13" s="231">
        <v>1</v>
      </c>
      <c r="O13" s="2"/>
      <c r="P13" s="22"/>
      <c r="Q13" s="59" t="s">
        <v>78</v>
      </c>
      <c r="R13" s="224">
        <f>IF($B$68=0,0,(SUMIF($N$6:$N$20,$U13,K$6:K$20)+SUMIF($N$78:$N$100,$U13,K$78:K$100))*$I$70*Poor!$B$68/$B$68)</f>
        <v>1323.9328788663345</v>
      </c>
      <c r="S13" s="224">
        <f>IF($B$68=0,0,(SUMIF($N$6:$N$20,$U13,L$6:L$20)+SUMIF($N$78:$N$100,$U13,L$78:L$100))*$I$70*Poor!$B$68/$B$68)</f>
        <v>1143.295604613711</v>
      </c>
      <c r="T13" s="224">
        <f>IF($B$68=0,0,(SUMIF($N$6:$N$20,$U13,M$6:M$20)+SUMIF($N$78:$N$100,$U13,M$78:M$100))*$I$70*Poor!$B$68/$B$68)</f>
        <v>1132.5921390423518</v>
      </c>
      <c r="U13" s="225">
        <v>7</v>
      </c>
      <c r="V13" s="56"/>
      <c r="W13" s="109"/>
      <c r="X13" s="117"/>
      <c r="Y13" s="184">
        <f t="shared" si="9"/>
        <v>2.37546699875467E-2</v>
      </c>
      <c r="Z13" s="155">
        <f>Poor!Z13</f>
        <v>1</v>
      </c>
      <c r="AA13" s="120">
        <f>$M13*Z13*4</f>
        <v>2.37546699875467E-2</v>
      </c>
      <c r="AB13" s="155">
        <f>Poor!AB13</f>
        <v>0</v>
      </c>
      <c r="AC13" s="120">
        <f>$M13*AB13*4</f>
        <v>0</v>
      </c>
      <c r="AD13" s="155">
        <f>Poor!AD13</f>
        <v>0</v>
      </c>
      <c r="AE13" s="120">
        <f>$M13*AD13*4</f>
        <v>0</v>
      </c>
      <c r="AF13" s="121">
        <f>1-SUM(Z13,AB13,AD13)</f>
        <v>0</v>
      </c>
      <c r="AG13" s="120">
        <f>$M13*AF13*4</f>
        <v>0</v>
      </c>
      <c r="AH13" s="122">
        <f t="shared" si="12"/>
        <v>1</v>
      </c>
      <c r="AI13" s="184">
        <f t="shared" si="13"/>
        <v>5.9386674968866749E-3</v>
      </c>
      <c r="AJ13" s="119">
        <f t="shared" si="14"/>
        <v>1.187733499377335E-2</v>
      </c>
      <c r="AK13" s="118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Sweet potato: no. local meas</v>
      </c>
      <c r="B14" s="100">
        <f>IF([1]Summ!$H1052="",0,[1]Summ!$H1052)</f>
        <v>7.4252801992528029E-3</v>
      </c>
      <c r="C14" s="100">
        <f>IF([1]Summ!$I1052="",0,[1]Summ!$I1052)</f>
        <v>0</v>
      </c>
      <c r="D14" s="24">
        <f t="shared" si="0"/>
        <v>7.4252801992528029E-3</v>
      </c>
      <c r="E14" s="75">
        <f>Poor!E14</f>
        <v>1</v>
      </c>
      <c r="F14" s="22"/>
      <c r="H14" s="24">
        <f t="shared" si="1"/>
        <v>1</v>
      </c>
      <c r="I14" s="22">
        <f t="shared" si="2"/>
        <v>7.4252801992528029E-3</v>
      </c>
      <c r="J14" s="24">
        <f>IF(I$24&lt;=1+I113,I14,B14*H14+J$25*(I14-B14*H14))</f>
        <v>7.4252801992528029E-3</v>
      </c>
      <c r="K14" s="22">
        <f t="shared" si="4"/>
        <v>7.4252801992528029E-3</v>
      </c>
      <c r="L14" s="22">
        <f t="shared" si="5"/>
        <v>7.4252801992528029E-3</v>
      </c>
      <c r="M14" s="227">
        <f t="shared" si="6"/>
        <v>7.4252801992528029E-3</v>
      </c>
      <c r="N14" s="231">
        <v>1</v>
      </c>
      <c r="O14" s="2"/>
      <c r="P14" s="22"/>
      <c r="Q14" s="125" t="s">
        <v>79</v>
      </c>
      <c r="R14" s="224">
        <f>IF($B$68=0,0,(SUMIF($N$6:$N$20,$U14,K$6:K$20)+SUMIF($N$78:$N$100,$U14,K$78:K$100))*$I$70*Poor!$B$68/$B$68)</f>
        <v>40320.000000000007</v>
      </c>
      <c r="S14" s="224">
        <f>IF($B$68=0,0,(SUMIF($N$6:$N$20,$U14,L$6:L$20)+SUMIF($N$78:$N$100,$U14,L$78:L$100))*$I$70*Poor!$B$68/$B$68)</f>
        <v>38520</v>
      </c>
      <c r="T14" s="224">
        <f>IF($B$68=0,0,(SUMIF($N$6:$N$20,$U14,M$6:M$20)+SUMIF($N$78:$N$100,$U14,M$78:M$100))*$I$70*Poor!$B$68/$B$68)</f>
        <v>38101.749938238187</v>
      </c>
      <c r="U14" s="225">
        <v>8</v>
      </c>
      <c r="V14" s="56"/>
      <c r="W14" s="109"/>
      <c r="X14" s="117"/>
      <c r="Y14" s="184">
        <f>M14*4</f>
        <v>2.9701120797011211E-2</v>
      </c>
      <c r="Z14" s="155">
        <f>Poor!Z14</f>
        <v>0</v>
      </c>
      <c r="AA14" s="120">
        <f t="shared" ref="AA14:AA21" si="16">$M14*Z14*4</f>
        <v>0</v>
      </c>
      <c r="AB14" s="155">
        <f>Poor!AB14</f>
        <v>1</v>
      </c>
      <c r="AC14" s="120">
        <f t="shared" si="7"/>
        <v>2.9701120797011211E-2</v>
      </c>
      <c r="AD14" s="155">
        <f>Poor!AD14</f>
        <v>0</v>
      </c>
      <c r="AE14" s="120">
        <f t="shared" si="8"/>
        <v>0</v>
      </c>
      <c r="AF14" s="121">
        <f t="shared" si="10"/>
        <v>0</v>
      </c>
      <c r="AG14" s="120">
        <f t="shared" si="11"/>
        <v>0</v>
      </c>
      <c r="AH14" s="127">
        <f>SUM(Z14,AB14,AD14,AF14)</f>
        <v>1</v>
      </c>
      <c r="AI14" s="184">
        <f>SUM(AA14,AC14,AE14,AG14)/4</f>
        <v>7.4252801992528029E-3</v>
      </c>
      <c r="AJ14" s="119">
        <f t="shared" si="14"/>
        <v>1.4850560398505606E-2</v>
      </c>
      <c r="AK14" s="118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Groundnuts (dry): no. local meas</v>
      </c>
      <c r="B15" s="100">
        <f>IF([1]Summ!$H1053="",0,[1]Summ!$H1053)</f>
        <v>5.7861784557907844E-2</v>
      </c>
      <c r="C15" s="100">
        <f>IF([1]Summ!$I1053="",0,[1]Summ!$I1053)</f>
        <v>0</v>
      </c>
      <c r="D15" s="24">
        <f t="shared" si="0"/>
        <v>5.7861784557907844E-2</v>
      </c>
      <c r="E15" s="75">
        <f>Poor!E15</f>
        <v>1</v>
      </c>
      <c r="F15" s="22"/>
      <c r="H15" s="24">
        <f t="shared" si="1"/>
        <v>1</v>
      </c>
      <c r="I15" s="22">
        <f t="shared" si="2"/>
        <v>5.7861784557907844E-2</v>
      </c>
      <c r="J15" s="24">
        <f>IF(I$24&lt;=1+I113,I15,B15*H15+J$25*(I15-B15*H15))</f>
        <v>5.7861784557907844E-2</v>
      </c>
      <c r="K15" s="22">
        <f t="shared" si="4"/>
        <v>5.7861784557907844E-2</v>
      </c>
      <c r="L15" s="22">
        <f t="shared" si="5"/>
        <v>5.7861784557907844E-2</v>
      </c>
      <c r="M15" s="228">
        <f t="shared" si="6"/>
        <v>5.7861784557907844E-2</v>
      </c>
      <c r="N15" s="231">
        <v>1</v>
      </c>
      <c r="O15" s="2"/>
      <c r="P15" s="22"/>
      <c r="Q15" s="59" t="s">
        <v>128</v>
      </c>
      <c r="R15" s="224">
        <f>IF($B$68=0,0,(SUMIF($N$6:$N$20,$U15,K$6:K$20)+SUMIF($N$78:$N$100,$U15,K$78:K$100))*$I$70*Poor!$B$68/$B$68)</f>
        <v>0</v>
      </c>
      <c r="S15" s="224">
        <f>IF($B$68=0,0,(SUMIF($N$6:$N$20,$U15,L$6:L$20)+SUMIF($N$78:$N$100,$U15,L$78:L$100))*$I$70*Poor!$B$68/$B$68)</f>
        <v>0</v>
      </c>
      <c r="T15" s="224">
        <f>IF($B$68=0,0,(SUMIF($N$6:$N$20,$U15,M$6:M$20)+SUMIF($N$78:$N$100,$U15,M$78:M$100))*$I$70*Poor!$B$68/$B$68)</f>
        <v>0</v>
      </c>
      <c r="U15" s="225">
        <v>9</v>
      </c>
      <c r="V15" s="56"/>
      <c r="W15" s="109"/>
      <c r="X15" s="117"/>
      <c r="Y15" s="184">
        <f t="shared" si="9"/>
        <v>0.23144713823163138</v>
      </c>
      <c r="Z15" s="155">
        <f>Poor!Z15</f>
        <v>0.25</v>
      </c>
      <c r="AA15" s="120">
        <f t="shared" si="16"/>
        <v>5.7861784557907844E-2</v>
      </c>
      <c r="AB15" s="155">
        <f>Poor!AB15</f>
        <v>0.25</v>
      </c>
      <c r="AC15" s="120">
        <f t="shared" si="7"/>
        <v>5.7861784557907844E-2</v>
      </c>
      <c r="AD15" s="155">
        <f>Poor!AD15</f>
        <v>0.25</v>
      </c>
      <c r="AE15" s="120">
        <f t="shared" si="8"/>
        <v>5.7861784557907844E-2</v>
      </c>
      <c r="AF15" s="121">
        <f t="shared" si="10"/>
        <v>0.25</v>
      </c>
      <c r="AG15" s="120">
        <f t="shared" si="11"/>
        <v>5.7861784557907844E-2</v>
      </c>
      <c r="AH15" s="122">
        <f t="shared" si="12"/>
        <v>1</v>
      </c>
      <c r="AI15" s="184">
        <f t="shared" si="13"/>
        <v>5.7861784557907844E-2</v>
      </c>
      <c r="AJ15" s="119">
        <f t="shared" si="14"/>
        <v>5.7861784557907844E-2</v>
      </c>
      <c r="AK15" s="118">
        <f t="shared" si="15"/>
        <v>5.7861784557907844E-2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WILD FOODS -- see worksheet Data 3</v>
      </c>
      <c r="B16" s="100">
        <f>IF([1]Summ!$H1054="",0,[1]Summ!$H1054)</f>
        <v>0</v>
      </c>
      <c r="C16" s="100">
        <f>IF([1]Summ!$I1054="",0,[1]Summ!$I1054)</f>
        <v>0</v>
      </c>
      <c r="D16" s="24">
        <f t="shared" si="0"/>
        <v>0</v>
      </c>
      <c r="E16" s="75">
        <f>Poor!E16</f>
        <v>0.8</v>
      </c>
      <c r="F16" s="22"/>
      <c r="H16" s="24">
        <f t="shared" si="1"/>
        <v>0.8</v>
      </c>
      <c r="I16" s="22">
        <f t="shared" si="2"/>
        <v>0</v>
      </c>
      <c r="J16" s="24">
        <f>IF(I$24&lt;=1+I113,I16,B16*H16+J$25*(I16-B16*H16))</f>
        <v>0</v>
      </c>
      <c r="K16" s="22">
        <f t="shared" si="4"/>
        <v>0</v>
      </c>
      <c r="L16" s="22">
        <f t="shared" si="5"/>
        <v>0</v>
      </c>
      <c r="M16" s="226">
        <f t="shared" si="6"/>
        <v>0</v>
      </c>
      <c r="N16" s="231">
        <v>6</v>
      </c>
      <c r="O16" s="2"/>
      <c r="P16" s="22"/>
      <c r="Q16" s="125" t="s">
        <v>80</v>
      </c>
      <c r="R16" s="224">
        <f>IF($B$68=0,0,(SUMIF($N$6:$N$20,$U16,K$6:K$20)+SUMIF($N$78:$N$100,$U16,K$78:K$100))*$I$70*Poor!$B$68/$B$68)</f>
        <v>4032.0000000000005</v>
      </c>
      <c r="S16" s="224">
        <f>IF($B$68=0,0,(SUMIF($N$6:$N$20,$U16,L$6:L$20)+SUMIF($N$78:$N$100,$U16,L$78:L$100))*$I$70*Poor!$B$68/$B$68)</f>
        <v>3960.0000000000005</v>
      </c>
      <c r="T16" s="224">
        <f>IF($B$68=0,0,(SUMIF($N$6:$N$20,$U16,M$6:M$20)+SUMIF($N$78:$N$100,$U16,M$78:M$100))*$I$70*Poor!$B$68/$B$68)</f>
        <v>3917.002330099253</v>
      </c>
      <c r="U16" s="225">
        <v>10</v>
      </c>
      <c r="V16" s="56"/>
      <c r="W16" s="109"/>
      <c r="X16" s="117"/>
      <c r="Y16" s="184">
        <f t="shared" si="9"/>
        <v>0</v>
      </c>
      <c r="Z16" s="155">
        <f>Poor!Z16</f>
        <v>0</v>
      </c>
      <c r="AA16" s="120">
        <f t="shared" si="16"/>
        <v>0</v>
      </c>
      <c r="AB16" s="155">
        <f>Poor!AB16</f>
        <v>0</v>
      </c>
      <c r="AC16" s="120">
        <f t="shared" si="7"/>
        <v>0</v>
      </c>
      <c r="AD16" s="155">
        <f>Poor!AD16</f>
        <v>0</v>
      </c>
      <c r="AE16" s="120">
        <f t="shared" si="8"/>
        <v>0</v>
      </c>
      <c r="AF16" s="121">
        <f t="shared" si="10"/>
        <v>1</v>
      </c>
      <c r="AG16" s="120">
        <f t="shared" si="11"/>
        <v>0</v>
      </c>
      <c r="AH16" s="122">
        <f t="shared" si="12"/>
        <v>1</v>
      </c>
      <c r="AI16" s="184">
        <f t="shared" si="13"/>
        <v>0</v>
      </c>
      <c r="AJ16" s="119">
        <f t="shared" si="14"/>
        <v>0</v>
      </c>
      <c r="AK16" s="118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Labour: Harvesting</v>
      </c>
      <c r="B17" s="100">
        <f>IF([1]Summ!$H1055="",0,[1]Summ!$H1055)</f>
        <v>2.8253424657534248E-2</v>
      </c>
      <c r="C17" s="100">
        <f>IF([1]Summ!$I1055="",0,[1]Summ!$I1055)</f>
        <v>5.6506849315068469E-3</v>
      </c>
      <c r="D17" s="24">
        <f t="shared" si="0"/>
        <v>3.3904109589041095E-2</v>
      </c>
      <c r="E17" s="75">
        <f>Poor!E17</f>
        <v>0.87</v>
      </c>
      <c r="F17" s="22"/>
      <c r="H17" s="24">
        <f t="shared" si="1"/>
        <v>0.87</v>
      </c>
      <c r="I17" s="22">
        <f t="shared" si="2"/>
        <v>2.9496575342465754E-2</v>
      </c>
      <c r="J17" s="24">
        <f>IF(I$24&lt;=1+I113,I17,B17*H17+J$25*(I17-B17*H17))</f>
        <v>2.4527100495414313E-2</v>
      </c>
      <c r="K17" s="22">
        <f t="shared" si="4"/>
        <v>2.8253424657534248E-2</v>
      </c>
      <c r="L17" s="22">
        <f t="shared" si="5"/>
        <v>2.4580479452054795E-2</v>
      </c>
      <c r="M17" s="227">
        <f t="shared" si="6"/>
        <v>2.4527100495414313E-2</v>
      </c>
      <c r="N17" s="231">
        <v>7</v>
      </c>
      <c r="O17" s="2"/>
      <c r="P17" s="22"/>
      <c r="Q17" s="125" t="s">
        <v>127</v>
      </c>
      <c r="R17" s="224">
        <f>IF($B$68=0,0,(SUMIF($N$6:$N$20,$U17,K$6:K$20)+SUMIF($N$78:$N$100,$U17,K$78:K$100))*$I$70*Poor!$B$68/$B$68)</f>
        <v>8064.0000000000009</v>
      </c>
      <c r="S17" s="224">
        <f>IF($B$68=0,0,(SUMIF($N$6:$N$20,$U17,L$6:L$20)+SUMIF($N$78:$N$100,$U17,L$78:L$100))*$I$70*Poor!$B$68/$B$68)</f>
        <v>7560.0000000000009</v>
      </c>
      <c r="T17" s="224">
        <f>IF($B$68=0,0,(SUMIF($N$6:$N$20,$U17,M$6:M$20)+SUMIF($N$78:$N$100,$U17,M$78:M$100))*$I$70*Poor!$B$68/$B$68)</f>
        <v>7477.9135392803919</v>
      </c>
      <c r="U17" s="225">
        <v>11</v>
      </c>
      <c r="V17" s="56"/>
      <c r="W17" s="109"/>
      <c r="X17" s="117"/>
      <c r="Y17" s="184">
        <f t="shared" si="9"/>
        <v>9.8108401981657253E-2</v>
      </c>
      <c r="Z17" s="155">
        <f>Poor!Z17</f>
        <v>0.29409999999999997</v>
      </c>
      <c r="AA17" s="120">
        <f t="shared" si="16"/>
        <v>2.8853681022805396E-2</v>
      </c>
      <c r="AB17" s="155">
        <f>Poor!AB17</f>
        <v>0.17649999999999999</v>
      </c>
      <c r="AC17" s="120">
        <f t="shared" si="7"/>
        <v>1.7316132949762503E-2</v>
      </c>
      <c r="AD17" s="155">
        <f>Poor!AD17</f>
        <v>0.23530000000000001</v>
      </c>
      <c r="AE17" s="120">
        <f t="shared" si="8"/>
        <v>2.3084906986283953E-2</v>
      </c>
      <c r="AF17" s="121">
        <f t="shared" si="10"/>
        <v>0.29410000000000003</v>
      </c>
      <c r="AG17" s="120">
        <f t="shared" si="11"/>
        <v>2.8853681022805402E-2</v>
      </c>
      <c r="AH17" s="122">
        <f t="shared" si="12"/>
        <v>1</v>
      </c>
      <c r="AI17" s="184">
        <f t="shared" si="13"/>
        <v>2.4527100495414313E-2</v>
      </c>
      <c r="AJ17" s="119">
        <f t="shared" si="14"/>
        <v>2.3084906986283949E-2</v>
      </c>
      <c r="AK17" s="118">
        <f t="shared" si="15"/>
        <v>2.5969294004544678E-2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Food aid</v>
      </c>
      <c r="B18" s="100">
        <f>IF([1]Summ!$H1056="",0,[1]Summ!$H1056)</f>
        <v>0</v>
      </c>
      <c r="C18" s="100">
        <f>IF([1]Summ!$I1056="",0,[1]Summ!$I1056)</f>
        <v>0</v>
      </c>
      <c r="D18" s="24">
        <f t="shared" si="0"/>
        <v>0</v>
      </c>
      <c r="E18" s="75">
        <f>Poor!E18</f>
        <v>1</v>
      </c>
      <c r="F18" s="22"/>
      <c r="H18" s="24">
        <f t="shared" si="1"/>
        <v>1</v>
      </c>
      <c r="I18" s="22">
        <f t="shared" si="2"/>
        <v>0</v>
      </c>
      <c r="J18" s="24">
        <f>IF(I$24&lt;=1+I113,I18,B18*H18+J$25*(I18-B18*H18))</f>
        <v>0</v>
      </c>
      <c r="K18" s="22">
        <f t="shared" si="4"/>
        <v>0</v>
      </c>
      <c r="L18" s="22">
        <f t="shared" si="5"/>
        <v>0</v>
      </c>
      <c r="M18" s="226">
        <f t="shared" si="6"/>
        <v>0</v>
      </c>
      <c r="N18" s="231">
        <v>12</v>
      </c>
      <c r="O18" s="2"/>
      <c r="P18" s="22"/>
      <c r="Q18" s="59" t="s">
        <v>81</v>
      </c>
      <c r="R18" s="224">
        <f>IF($B$68=0,0,(SUMIF($N$6:$N$20,$U18,K$6:K$20)+SUMIF($N$78:$N$100,$U18,K$78:K$100))*$I$70*Poor!$B$68/$B$68)</f>
        <v>0</v>
      </c>
      <c r="S18" s="224">
        <f>IF($B$68=0,0,(SUMIF($N$6:$N$20,$U18,L$6:L$20)+SUMIF($N$78:$N$100,$U18,L$78:L$100))*$I$70*Poor!$B$68/$B$68)</f>
        <v>0</v>
      </c>
      <c r="T18" s="224">
        <f>IF($B$68=0,0,(SUMIF($N$6:$N$20,$U18,M$6:M$20)+SUMIF($N$78:$N$100,$U18,M$78:M$100))*$I$70*Poor!$B$68/$B$68)</f>
        <v>0</v>
      </c>
      <c r="U18" s="225">
        <v>12</v>
      </c>
      <c r="V18" s="56"/>
      <c r="W18" s="109"/>
      <c r="X18" s="117"/>
      <c r="Y18" s="184">
        <f t="shared" si="9"/>
        <v>0</v>
      </c>
      <c r="Z18" s="155">
        <f>Poor!Z18</f>
        <v>0.25</v>
      </c>
      <c r="AA18" s="120">
        <f t="shared" si="16"/>
        <v>0</v>
      </c>
      <c r="AB18" s="155">
        <f>Poor!AB18</f>
        <v>0.25</v>
      </c>
      <c r="AC18" s="120">
        <f t="shared" si="7"/>
        <v>0</v>
      </c>
      <c r="AD18" s="155">
        <f>Poor!AD18</f>
        <v>0.25</v>
      </c>
      <c r="AE18" s="120">
        <f t="shared" si="8"/>
        <v>0</v>
      </c>
      <c r="AF18" s="121">
        <f t="shared" si="10"/>
        <v>0.25</v>
      </c>
      <c r="AG18" s="120">
        <f t="shared" si="11"/>
        <v>0</v>
      </c>
      <c r="AH18" s="122">
        <f t="shared" si="12"/>
        <v>1</v>
      </c>
      <c r="AI18" s="184">
        <f t="shared" si="13"/>
        <v>0</v>
      </c>
      <c r="AJ18" s="119">
        <f t="shared" si="14"/>
        <v>0</v>
      </c>
      <c r="AK18" s="118">
        <f t="shared" si="15"/>
        <v>0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Purchase - other food</v>
      </c>
      <c r="B19" s="100">
        <f>IF([1]Summ!$H1057="",0,[1]Summ!$H1057)</f>
        <v>2.2811021170610211E-2</v>
      </c>
      <c r="C19" s="100">
        <f>IF([1]Summ!$I1057="",0,[1]Summ!$I1057)</f>
        <v>-2.2811021170610211E-2</v>
      </c>
      <c r="D19" s="24">
        <f>(B19+C19)</f>
        <v>0</v>
      </c>
      <c r="E19" s="75">
        <f>Poor!E19</f>
        <v>1</v>
      </c>
      <c r="F19" s="22"/>
      <c r="H19" s="24">
        <f t="shared" si="1"/>
        <v>1</v>
      </c>
      <c r="I19" s="22">
        <f t="shared" si="2"/>
        <v>0</v>
      </c>
      <c r="J19" s="24">
        <f>IF(I$24&lt;=1+I113,I19,B19*H19+J$25*(I19-B19*H19))</f>
        <v>2.3058703180305378E-2</v>
      </c>
      <c r="K19" s="22">
        <f t="shared" si="4"/>
        <v>2.2811021170610211E-2</v>
      </c>
      <c r="L19" s="22">
        <f t="shared" si="5"/>
        <v>2.2811021170610211E-2</v>
      </c>
      <c r="M19" s="228">
        <f t="shared" si="6"/>
        <v>2.3058703180305378E-2</v>
      </c>
      <c r="N19" s="231"/>
      <c r="O19" s="2"/>
      <c r="P19" s="22"/>
      <c r="Q19" s="59" t="s">
        <v>82</v>
      </c>
      <c r="R19" s="224">
        <f>IF($B$68=0,0,(SUMIF($N$6:$N$20,$U19,K$6:K$20)+SUMIF($N$78:$N$100,$U19,K$78:K$100))*$I$70*Poor!$B$68/$B$68)</f>
        <v>0</v>
      </c>
      <c r="S19" s="224">
        <f>IF($B$68=0,0,(SUMIF($N$6:$N$20,$U19,L$6:L$20)+SUMIF($N$78:$N$100,$U19,L$78:L$100))*$I$70*Poor!$B$68/$B$68)</f>
        <v>0</v>
      </c>
      <c r="T19" s="224">
        <f>IF($B$68=0,0,(SUMIF($N$6:$N$20,$U19,M$6:M$20)+SUMIF($N$78:$N$100,$U19,M$78:M$100))*$I$70*Poor!$B$68/$B$68)</f>
        <v>0</v>
      </c>
      <c r="U19" s="225">
        <v>13</v>
      </c>
      <c r="V19" s="56"/>
      <c r="W19" s="109"/>
      <c r="X19" s="117"/>
      <c r="Y19" s="184">
        <f t="shared" si="9"/>
        <v>9.2234812721221512E-2</v>
      </c>
      <c r="Z19" s="155">
        <f>Poor!Z19</f>
        <v>0.25</v>
      </c>
      <c r="AA19" s="120">
        <f t="shared" si="16"/>
        <v>2.3058703180305378E-2</v>
      </c>
      <c r="AB19" s="155">
        <f>Poor!AB19</f>
        <v>0.25</v>
      </c>
      <c r="AC19" s="120">
        <f t="shared" si="7"/>
        <v>2.3058703180305378E-2</v>
      </c>
      <c r="AD19" s="155">
        <f>Poor!AD19</f>
        <v>0.25</v>
      </c>
      <c r="AE19" s="120">
        <f t="shared" si="8"/>
        <v>2.3058703180305378E-2</v>
      </c>
      <c r="AF19" s="121">
        <f t="shared" si="10"/>
        <v>0.25</v>
      </c>
      <c r="AG19" s="120">
        <f t="shared" si="11"/>
        <v>2.3058703180305378E-2</v>
      </c>
      <c r="AH19" s="122">
        <f t="shared" si="12"/>
        <v>1</v>
      </c>
      <c r="AI19" s="184">
        <f t="shared" si="13"/>
        <v>2.3058703180305378E-2</v>
      </c>
      <c r="AJ19" s="119">
        <f t="shared" si="14"/>
        <v>2.3058703180305378E-2</v>
      </c>
      <c r="AK19" s="118">
        <f t="shared" si="15"/>
        <v>2.3058703180305378E-2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Purchase - desirable</v>
      </c>
      <c r="B20" s="100">
        <f>IF([1]Summ!$H1058="",0,[1]Summ!$H1058)</f>
        <v>0</v>
      </c>
      <c r="C20" s="100">
        <f>IF([1]Summ!$I1058="",0,[1]Summ!$I1058)</f>
        <v>0</v>
      </c>
      <c r="D20" s="24">
        <f t="shared" si="0"/>
        <v>0</v>
      </c>
      <c r="E20" s="75">
        <f>Poor!E20</f>
        <v>1</v>
      </c>
      <c r="F20" s="22"/>
      <c r="H20" s="24">
        <f t="shared" si="1"/>
        <v>1</v>
      </c>
      <c r="I20" s="22">
        <f t="shared" si="2"/>
        <v>0</v>
      </c>
      <c r="J20" s="24">
        <f>IF(I$24&lt;=1+I113,I20,B20*H20+J$25*(I20-B20*H20))</f>
        <v>0</v>
      </c>
      <c r="K20" s="22">
        <f t="shared" si="4"/>
        <v>0</v>
      </c>
      <c r="L20" s="22">
        <f t="shared" si="5"/>
        <v>0</v>
      </c>
      <c r="M20" s="226">
        <f t="shared" si="6"/>
        <v>0</v>
      </c>
      <c r="N20" s="231"/>
      <c r="O20" s="2"/>
      <c r="P20" s="22"/>
      <c r="Q20" s="59" t="s">
        <v>83</v>
      </c>
      <c r="R20" s="224">
        <f>IF($B$68=0,0,(SUMIF($N$6:$N$20,$U20,K$6:K$20)+SUMIF($N$78:$N$100,$U20,K$78:K$100))*$I$70*Poor!$B$68/$B$68)</f>
        <v>9048.3949367088626</v>
      </c>
      <c r="S20" s="224">
        <f>IF($B$68=0,0,(SUMIF($N$6:$N$20,$U20,L$6:L$20)+SUMIF($N$78:$N$100,$U20,L$78:L$100))*$I$70*Poor!$B$68/$B$68)</f>
        <v>8967.6056962025359</v>
      </c>
      <c r="T20" s="224">
        <f>IF($B$68=0,0,(SUMIF($N$6:$N$20,$U20,M$6:M$20)+SUMIF($N$78:$N$100,$U20,M$78:M$100))*$I$70*Poor!$B$68/$B$68)</f>
        <v>8870.2354564233992</v>
      </c>
      <c r="U20" s="225">
        <v>14</v>
      </c>
      <c r="V20" s="56"/>
      <c r="W20" s="109"/>
      <c r="X20" s="117"/>
      <c r="Y20" s="184">
        <f t="shared" si="9"/>
        <v>0</v>
      </c>
      <c r="Z20" s="155">
        <f>Poor!Z20</f>
        <v>0</v>
      </c>
      <c r="AA20" s="120">
        <f t="shared" si="16"/>
        <v>0</v>
      </c>
      <c r="AB20" s="155">
        <f>Poor!AB20</f>
        <v>0</v>
      </c>
      <c r="AC20" s="120">
        <f t="shared" si="7"/>
        <v>0</v>
      </c>
      <c r="AD20" s="155">
        <f>Poor!AD20</f>
        <v>0.5</v>
      </c>
      <c r="AE20" s="120">
        <f t="shared" si="8"/>
        <v>0</v>
      </c>
      <c r="AF20" s="121">
        <f t="shared" si="10"/>
        <v>0.5</v>
      </c>
      <c r="AG20" s="120">
        <f t="shared" si="11"/>
        <v>0</v>
      </c>
      <c r="AH20" s="122">
        <f t="shared" si="12"/>
        <v>1</v>
      </c>
      <c r="AI20" s="184">
        <f t="shared" si="13"/>
        <v>0</v>
      </c>
      <c r="AJ20" s="119">
        <f t="shared" si="14"/>
        <v>0</v>
      </c>
      <c r="AK20" s="118">
        <f t="shared" si="15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Purchase - fpl non staple</v>
      </c>
      <c r="B21" s="100">
        <f>IF([1]Summ!$H1059="",0,[1]Summ!$H1059)</f>
        <v>0.24999602428393522</v>
      </c>
      <c r="C21" s="100">
        <f>IF([1]Summ!$I1059="",0,[1]Summ!$I1059)</f>
        <v>0.33620758602567147</v>
      </c>
      <c r="D21" s="24">
        <f t="shared" si="0"/>
        <v>0.58620361030960666</v>
      </c>
      <c r="E21" s="75">
        <f>Poor!E21</f>
        <v>1</v>
      </c>
      <c r="F21" s="22"/>
      <c r="H21" s="24">
        <f t="shared" si="1"/>
        <v>1</v>
      </c>
      <c r="I21" s="22">
        <f t="shared" si="2"/>
        <v>0.58620361030960666</v>
      </c>
      <c r="J21" s="24">
        <f>IF(I$24&lt;=1+I113,I21,B21*H21+J$25*(I21-B21*H21))</f>
        <v>0.24634548317230417</v>
      </c>
      <c r="K21" s="22">
        <f t="shared" si="4"/>
        <v>0.24999602428393522</v>
      </c>
      <c r="L21" s="22">
        <f t="shared" si="5"/>
        <v>0.24999602428393522</v>
      </c>
      <c r="M21" s="226">
        <f t="shared" si="6"/>
        <v>0.24634548317230417</v>
      </c>
      <c r="N21" s="231"/>
      <c r="P21" s="22"/>
      <c r="Q21" s="59" t="s">
        <v>84</v>
      </c>
      <c r="R21" s="224">
        <f>IF($B$68=0,0,(SUMIF($N$6:$N$20,$U21,K$6:K$20)+SUMIF($N$78:$N$100,$U21,K$78:K$100))*$I$70*Poor!$B$68/$B$68)</f>
        <v>26880.000000000004</v>
      </c>
      <c r="S21" s="224">
        <f>IF($B$68=0,0,(SUMIF($N$6:$N$20,$U21,L$6:L$20)+SUMIF($N$78:$N$100,$U21,L$78:L$100))*$I$70*Poor!$B$68/$B$68)</f>
        <v>25200</v>
      </c>
      <c r="T21" s="224">
        <f>IF($B$68=0,0,(SUMIF($N$6:$N$20,$U21,M$6:M$20)+SUMIF($N$78:$N$100,$U21,M$78:M$100))*$I$70*Poor!$B$68/$B$68)</f>
        <v>24926.378464267971</v>
      </c>
      <c r="U21" s="225">
        <v>15</v>
      </c>
      <c r="V21" s="56"/>
      <c r="W21" s="109"/>
      <c r="X21" s="117"/>
      <c r="Y21" s="184">
        <f t="shared" si="9"/>
        <v>0.9853819326892167</v>
      </c>
      <c r="Z21" s="155">
        <f>Poor!Z21</f>
        <v>0.25</v>
      </c>
      <c r="AA21" s="120">
        <f t="shared" si="16"/>
        <v>0.24634548317230417</v>
      </c>
      <c r="AB21" s="155">
        <f>Poor!AB21</f>
        <v>0.25</v>
      </c>
      <c r="AC21" s="120">
        <f t="shared" si="7"/>
        <v>0.24634548317230417</v>
      </c>
      <c r="AD21" s="155">
        <f>Poor!AD21</f>
        <v>0.25</v>
      </c>
      <c r="AE21" s="120">
        <f t="shared" si="8"/>
        <v>0.24634548317230417</v>
      </c>
      <c r="AF21" s="121">
        <f t="shared" si="10"/>
        <v>0.25</v>
      </c>
      <c r="AG21" s="120">
        <f t="shared" si="11"/>
        <v>0.24634548317230417</v>
      </c>
      <c r="AH21" s="122">
        <f t="shared" si="12"/>
        <v>1</v>
      </c>
      <c r="AI21" s="184">
        <f t="shared" si="13"/>
        <v>0.24634548317230417</v>
      </c>
      <c r="AJ21" s="119">
        <f t="shared" si="14"/>
        <v>0.24634548317230417</v>
      </c>
      <c r="AK21" s="118">
        <f t="shared" si="15"/>
        <v>0.24634548317230417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 thickBot="1">
      <c r="A22" s="94" t="s">
        <v>58</v>
      </c>
      <c r="B22" s="100">
        <f>IF([1]Summ!$H1060="",0,[1]Summ!$H1060)</f>
        <v>0.55063632627646331</v>
      </c>
      <c r="C22" s="102"/>
      <c r="D22" s="24">
        <f>(D101-B106)</f>
        <v>22.864782117037254</v>
      </c>
      <c r="E22" s="75">
        <f>Poor!E22</f>
        <v>1</v>
      </c>
      <c r="H22" s="97">
        <f>(E22*F$7/F$9)</f>
        <v>1</v>
      </c>
      <c r="I22" s="29">
        <f>IF(E22&gt;=1,I101-I106,MIN(I101-I106,B22*H22))</f>
        <v>21.696417268344533</v>
      </c>
      <c r="J22" s="238">
        <f>IF(I$24&lt;=$B$24,I22,$B$24-SUM(J6:J21))</f>
        <v>0.55776550954051918</v>
      </c>
      <c r="K22" s="22">
        <f t="shared" si="4"/>
        <v>0.55063632627646331</v>
      </c>
      <c r="L22" s="22">
        <f>IF(L106=L101,0,IF(K22="",0,(L101-L106)/(B101-B106)*K22))</f>
        <v>0.51908935250105892</v>
      </c>
      <c r="M22" s="174">
        <f t="shared" si="6"/>
        <v>0.55776550954051918</v>
      </c>
      <c r="N22" s="165" t="s">
        <v>88</v>
      </c>
      <c r="O22" s="2"/>
      <c r="P22" s="22"/>
      <c r="Q22" s="59" t="s">
        <v>85</v>
      </c>
      <c r="R22" s="224">
        <f>IF($B$68=0,0,(SUMIF($N$6:$N$20,$U22,K$6:K$20)+SUMIF($N$78:$N$100,$U22,K$78:K$100))*$I$70*Poor!$B$68/$B$68)</f>
        <v>0</v>
      </c>
      <c r="S22" s="224">
        <f>IF($B$68=0,0,(SUMIF($N$6:$N$20,$U22,L$6:L$20)+SUMIF($N$78:$N$100,$U22,L$78:L$100))*$I$70*Poor!$B$68/$B$68)</f>
        <v>0</v>
      </c>
      <c r="T22" s="224">
        <f>IF($B$68=0,0,(SUMIF($N$6:$N$20,$U22,M$6:M$20)+SUMIF($N$78:$N$100,$U22,M$78:M$100))*$I$70*Poor!$B$68/$B$68)</f>
        <v>0</v>
      </c>
      <c r="U22" s="225">
        <v>16</v>
      </c>
      <c r="V22" s="56"/>
      <c r="W22" s="109"/>
      <c r="X22" s="117"/>
      <c r="Y22" s="184">
        <f>M22*4</f>
        <v>2.2310620381620767</v>
      </c>
      <c r="Z22" s="121">
        <f>IF($Y22=0,0,AA22/($Y$22))</f>
        <v>0</v>
      </c>
      <c r="AA22" s="188">
        <f>IF(AA66*4/$I$70+SUM(AA6:AA21)&lt;1,AA66*4/$I$70,1-SUM(AA6:AA21))</f>
        <v>0</v>
      </c>
      <c r="AB22" s="121">
        <f>IF($Y22=0,0,AC22/($Y$22))</f>
        <v>0.13719560396821107</v>
      </c>
      <c r="AC22" s="188">
        <f>IF(AC66*4/$I$70+SUM(AC6:AC21)&lt;1,AC66*4/$I$70,1-SUM(AC6:AC21))</f>
        <v>0.30609190381619411</v>
      </c>
      <c r="AD22" s="121">
        <f>IF($Y22=0,0,AE22/($Y$22))</f>
        <v>0.24487269164869407</v>
      </c>
      <c r="AE22" s="188">
        <f>IF(AE66*4/$I$70+SUM(AE6:AE21)&lt;1,AE66*4/$I$70,1-SUM(AE6:AE21))</f>
        <v>0.54632616651996913</v>
      </c>
      <c r="AF22" s="121">
        <f>IF($Y22=0,0,AG22/($Y$22))</f>
        <v>0.1678486739867506</v>
      </c>
      <c r="AG22" s="188">
        <f>IF(AG66*4/$I$70+SUM(AG6:AG21)&lt;1,AG66*4/$I$70,1-SUM(AG6:AG21))</f>
        <v>0.37448080468768175</v>
      </c>
      <c r="AH22" s="122">
        <f t="shared" si="12"/>
        <v>0.54991696960365577</v>
      </c>
      <c r="AI22" s="184">
        <f t="shared" si="13"/>
        <v>0.30672471875596125</v>
      </c>
      <c r="AJ22" s="119">
        <f t="shared" si="14"/>
        <v>0.15304595190809706</v>
      </c>
      <c r="AK22" s="118">
        <f t="shared" si="15"/>
        <v>0.46040348560382544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95" t="s">
        <v>59</v>
      </c>
      <c r="B23" s="100" t="str">
        <f>IF(1-$B$24&gt;0,1-$B$24,"")</f>
        <v/>
      </c>
      <c r="C23" s="77"/>
      <c r="D23" s="24"/>
      <c r="E23" s="22"/>
      <c r="F23" s="22"/>
      <c r="H23" s="24"/>
      <c r="I23" s="22"/>
      <c r="J23" s="239">
        <f>($B$24-SUM(J6:J22))</f>
        <v>0</v>
      </c>
      <c r="K23" s="22" t="str">
        <f t="shared" si="4"/>
        <v/>
      </c>
      <c r="L23" s="22">
        <f>(1-SUM(L6:L22))</f>
        <v>-0.21582087180367404</v>
      </c>
      <c r="M23" s="177">
        <f t="shared" si="6"/>
        <v>0</v>
      </c>
      <c r="N23" s="166">
        <f>M23*I70</f>
        <v>0</v>
      </c>
      <c r="P23" s="22"/>
      <c r="Q23" s="170" t="s">
        <v>102</v>
      </c>
      <c r="R23" s="179">
        <f>SUM(R7:R22)</f>
        <v>102555.39755686156</v>
      </c>
      <c r="S23" s="179">
        <f>SUM(S7:S22)</f>
        <v>97980.971042102596</v>
      </c>
      <c r="T23" s="179">
        <f>SUM(T7:T22)</f>
        <v>96953.539834689931</v>
      </c>
      <c r="U23" s="241" t="s">
        <v>143</v>
      </c>
      <c r="V23" s="56"/>
      <c r="W23" s="128" t="s">
        <v>86</v>
      </c>
      <c r="X23" s="129"/>
      <c r="Y23" s="120">
        <f>M23*4</f>
        <v>0</v>
      </c>
      <c r="Z23" s="130"/>
      <c r="AA23" s="131">
        <f>1-AA24+IF($Y24&lt;0,$Y24/4,0)</f>
        <v>0</v>
      </c>
      <c r="AB23" s="130"/>
      <c r="AC23" s="132">
        <f>1-AC24+IF($Y24&lt;0,$Y24/4,0)</f>
        <v>0</v>
      </c>
      <c r="AD23" s="133"/>
      <c r="AE23" s="132">
        <f>1-AE24+IF($Y24&lt;0,$Y24/4,0)</f>
        <v>0</v>
      </c>
      <c r="AF23" s="133"/>
      <c r="AG23" s="132">
        <f>1-AG24+IF($Y24&lt;0,$Y24/4,0)</f>
        <v>0</v>
      </c>
      <c r="AH23" s="122"/>
      <c r="AI23" s="183">
        <f>SUM(AA23,AC23,AE23,AG23)/4</f>
        <v>0</v>
      </c>
      <c r="AJ23" s="134">
        <f t="shared" si="14"/>
        <v>0</v>
      </c>
      <c r="AK23" s="135">
        <f t="shared" si="15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>
      <c r="A24" s="22" t="s">
        <v>25</v>
      </c>
      <c r="B24" s="77">
        <f>SUM(B6:B22)</f>
        <v>1.251040790784558</v>
      </c>
      <c r="C24" s="77">
        <f>SUM(C6:C23)</f>
        <v>0.31904724978656812</v>
      </c>
      <c r="D24" s="24">
        <f>SUM(D6:D22)</f>
        <v>23.884233831331919</v>
      </c>
      <c r="E24" s="2"/>
      <c r="F24" s="2"/>
      <c r="H24" s="17"/>
      <c r="I24" s="22">
        <f>SUM(I6:I22)</f>
        <v>22.711461448392619</v>
      </c>
      <c r="J24" s="17"/>
      <c r="L24" s="22">
        <f>SUM(L6:L22)</f>
        <v>1.215820871803674</v>
      </c>
      <c r="M24" s="23"/>
      <c r="N24" s="56"/>
      <c r="O24" s="2"/>
      <c r="P24" s="22"/>
      <c r="Q24" s="59" t="s">
        <v>140</v>
      </c>
      <c r="R24" s="41">
        <f>IF($B$68=0,0,($B$106*$H$106)+1-($D$21*$H$21)-($D$20*$H$20))*$I$70*Poor!$B$68/$B$68</f>
        <v>18678.904463959963</v>
      </c>
      <c r="S24" s="41">
        <f>IF($B$68=0,0,($B$106*($H$106)+1-($D$21*$H$21)-($D$20*$H$20))*$I$70*Poor!$B$68/$B$68)</f>
        <v>18678.904463959963</v>
      </c>
      <c r="T24" s="41">
        <f>IF($B$68=0,0,($B$106*($H$106)+1-($D$21*$H$21)-($D$20*$H$20))*$I$70*[2]Poor!$B$68/$B$68)</f>
        <v>18678.904463959963</v>
      </c>
      <c r="U24" s="242">
        <f>T24/Poor!$B$68/12</f>
        <v>259.42922866611059</v>
      </c>
      <c r="V24" s="56"/>
      <c r="W24" s="109"/>
      <c r="X24" s="117"/>
      <c r="Y24" s="114">
        <f>SUM(Y6:Y23)</f>
        <v>5.004163163138232</v>
      </c>
      <c r="Z24" s="136"/>
      <c r="AA24" s="137">
        <f>SUM(AA6:AA22)</f>
        <v>1</v>
      </c>
      <c r="AB24" s="136"/>
      <c r="AC24" s="138">
        <f>SUM(AC6:AC22)</f>
        <v>1</v>
      </c>
      <c r="AD24" s="136"/>
      <c r="AE24" s="138">
        <f>SUM(AE6:AE22)</f>
        <v>1</v>
      </c>
      <c r="AF24" s="136"/>
      <c r="AG24" s="138">
        <f>SUM(AG6:AG22)</f>
        <v>1</v>
      </c>
      <c r="AH24" s="126"/>
      <c r="AI24" s="109"/>
      <c r="AJ24" s="139">
        <f>SUM(AJ6:AJ23)</f>
        <v>1</v>
      </c>
      <c r="AK24" s="140">
        <f>SUM(AK6:AK23)</f>
        <v>1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</row>
    <row r="25" spans="1:89" ht="14" customHeight="1" thickBot="1">
      <c r="A25" s="11"/>
      <c r="B25" s="11"/>
      <c r="C25" s="11"/>
      <c r="D25" s="10"/>
      <c r="E25" s="11"/>
      <c r="F25" s="11"/>
      <c r="G25" s="11"/>
      <c r="H25" s="10"/>
      <c r="I25" s="234" t="s">
        <v>26</v>
      </c>
      <c r="J25" s="235">
        <f>(1+K107*H107-L24-L107)/(I24-L24-L107)</f>
        <v>-1.085799744968368E-2</v>
      </c>
      <c r="K25" s="14"/>
      <c r="L25" s="11"/>
      <c r="M25" s="30"/>
      <c r="N25" s="167" t="s">
        <v>89</v>
      </c>
      <c r="O25" s="2"/>
      <c r="P25" s="2"/>
      <c r="Q25" s="141" t="s">
        <v>141</v>
      </c>
      <c r="R25" s="41">
        <f>IF($B$68=0,0,($B$57+$B$58+((1-$D$21)*$B$70))*$H$71*Poor!$B$68/$B$68)</f>
        <v>31956.58733381049</v>
      </c>
      <c r="S25" s="41">
        <f>IF($B$68=0,0,(($B$57*$H$57)+($B$58*$H$58)+((1-($D$21*$H$21))*$I$70))*Poor!$B$68/$B$68)</f>
        <v>31648.144463959969</v>
      </c>
      <c r="T25" s="41">
        <f>IF($B$68=0,0,(($B$57*$H$57)+($B$58*$H$58)+((1-($D$21*$H$21))*$I$70))*Poor!$B$68/$B$68)</f>
        <v>31648.144463959969</v>
      </c>
      <c r="U25" s="242">
        <f>T25/Poor!$B$68/12</f>
        <v>439.55756199944403</v>
      </c>
      <c r="V25" s="56"/>
      <c r="W25" s="109"/>
      <c r="X25" s="117"/>
      <c r="Y25" s="109"/>
      <c r="Z25" s="142"/>
      <c r="AA25" s="143"/>
      <c r="AB25" s="142"/>
      <c r="AC25" s="143"/>
      <c r="AD25" s="142"/>
      <c r="AE25" s="143"/>
      <c r="AF25" s="142"/>
      <c r="AG25" s="143"/>
      <c r="AH25" s="109"/>
      <c r="AI25" s="109"/>
      <c r="AJ25" s="142"/>
      <c r="AK25" s="143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</row>
    <row r="26" spans="1:89" ht="15.75" customHeight="1" thickBot="1">
      <c r="A26" s="73" t="s">
        <v>49</v>
      </c>
      <c r="B26" s="2"/>
      <c r="C26" s="2"/>
      <c r="D26" s="31"/>
      <c r="E26" s="32"/>
      <c r="F26" s="32"/>
      <c r="G26" s="32"/>
      <c r="H26" s="31"/>
      <c r="I26" s="2"/>
      <c r="J26" s="33"/>
      <c r="K26" s="34" t="s">
        <v>28</v>
      </c>
      <c r="L26" s="35"/>
      <c r="M26" s="36"/>
      <c r="N26" s="168">
        <f>-(M64*B63)</f>
        <v>0</v>
      </c>
      <c r="O26" s="2"/>
      <c r="P26" s="2"/>
      <c r="Q26" s="59" t="s">
        <v>142</v>
      </c>
      <c r="R26" s="41">
        <f>IF($B$68=0,0,($B$57+$B$58+$B$59+((1-$D$21)*$B$70))*$H$71*Poor!$B$68/$B$68)</f>
        <v>55602.772300932178</v>
      </c>
      <c r="S26" s="41">
        <f>IF($B$68=0,0,(($B$57*$H$57)+($B$58*$H$58)+($B$59*$H$59)+((1-($D$21*$H$21))*$I$70))*Poor!$B$68/$B$68)</f>
        <v>54745.024463959962</v>
      </c>
      <c r="T26" s="41">
        <f>IF($B$68=0,0,(($B$57*$H$57)+($B$58*$H$58)+($B$59*$H$59)+((1-($D$21*$H$21))*$I$70))*Poor!$B$68/$B$68)</f>
        <v>54745.024463959962</v>
      </c>
      <c r="U26" s="242">
        <f>T26/Poor!$B$68/12</f>
        <v>760.34756199944388</v>
      </c>
      <c r="V26" s="56"/>
      <c r="W26" s="109"/>
      <c r="X26" s="117"/>
      <c r="Y26" s="109"/>
      <c r="Z26" s="144"/>
      <c r="AA26" s="145"/>
      <c r="AB26" s="144"/>
      <c r="AC26" s="145"/>
      <c r="AD26" s="144"/>
      <c r="AE26" s="145"/>
      <c r="AF26" s="144"/>
      <c r="AG26" s="145"/>
      <c r="AH26" s="109"/>
      <c r="AI26" s="109"/>
      <c r="AJ26" s="144"/>
      <c r="AK26" s="145"/>
      <c r="AP26" s="25"/>
      <c r="AQ26" s="25"/>
      <c r="AR26" s="25"/>
      <c r="AS26" s="25"/>
      <c r="AT26" s="25"/>
      <c r="AU26" s="25"/>
      <c r="AW26" s="25"/>
      <c r="AX26" s="25"/>
      <c r="AY26" s="25"/>
      <c r="AZ26" s="25"/>
      <c r="BA26" s="25"/>
      <c r="BB26" s="25"/>
      <c r="BF26" s="25"/>
      <c r="BG26" s="25"/>
      <c r="BH26" s="25"/>
      <c r="BI26" s="25"/>
      <c r="BJ26" s="25"/>
      <c r="BK26" s="25"/>
      <c r="BM26" s="25"/>
      <c r="BN26" s="25"/>
      <c r="BO26" s="25"/>
      <c r="BP26" s="25"/>
      <c r="BQ26" s="25"/>
      <c r="BR26" s="25"/>
      <c r="BU26" s="25"/>
      <c r="BV26" s="25"/>
      <c r="BW26" s="25"/>
      <c r="BX26" s="25"/>
      <c r="BY26" s="25"/>
      <c r="BZ26" s="25"/>
      <c r="CB26" s="25"/>
      <c r="CC26" s="25"/>
      <c r="CD26" s="25"/>
      <c r="CE26" s="25"/>
      <c r="CF26" s="25"/>
      <c r="CG26" s="25"/>
    </row>
    <row r="27" spans="1:89" ht="14" customHeight="1">
      <c r="A27" s="2"/>
      <c r="B27" s="19" t="s">
        <v>7</v>
      </c>
      <c r="C27" s="19" t="s">
        <v>8</v>
      </c>
      <c r="D27" s="16" t="s">
        <v>9</v>
      </c>
      <c r="E27" s="19" t="s">
        <v>10</v>
      </c>
      <c r="F27" s="2" t="s">
        <v>29</v>
      </c>
      <c r="G27" s="2" t="s">
        <v>30</v>
      </c>
      <c r="H27" s="16" t="s">
        <v>12</v>
      </c>
      <c r="I27" s="19" t="s">
        <v>13</v>
      </c>
      <c r="J27" s="16" t="s">
        <v>14</v>
      </c>
      <c r="K27" s="37" t="s">
        <v>7</v>
      </c>
      <c r="L27" s="19" t="s">
        <v>15</v>
      </c>
      <c r="M27" s="16" t="s">
        <v>14</v>
      </c>
      <c r="N27" s="2"/>
      <c r="O27" s="2"/>
      <c r="P27" s="2"/>
      <c r="Q27" s="125" t="s">
        <v>134</v>
      </c>
      <c r="R27" s="41">
        <f>IF($B$68=0,0,($B$57+$B$58+$B$59+$B$60+(1-$D$21-$D$20)*$B$70)*$H$71*Poor!$B$68/$B$68)</f>
        <v>81080.832035787433</v>
      </c>
      <c r="S27" s="41">
        <f>IF($B$68=0,0,(($B$57*$H$57)+($B$58*$H$58)+($B$59*$H$59)+($B$60*$H$60)+((1-($D$20*$H$20)-($D$21*$H$21))*$I$70))*Poor!$B$68/$B$68)</f>
        <v>79631.224463959967</v>
      </c>
      <c r="T27" s="41">
        <f>IF($B$68=0,0,(($B$57*$H$57)+($B$58*$H$58)+($B$59*$H$59)+($B$60*$H$60)+((1-($D$20*$H$20)-($D$21*$H$21))*$I$70))*Poor!$B$68/$B$68)</f>
        <v>79631.224463959967</v>
      </c>
      <c r="U27" s="243">
        <f>T27/Poor!$B$68/12</f>
        <v>1105.9892286661106</v>
      </c>
      <c r="V27" s="56"/>
      <c r="W27" s="109"/>
      <c r="X27" s="117"/>
      <c r="Y27" s="109"/>
      <c r="Z27" s="144"/>
      <c r="AA27" s="145"/>
      <c r="AB27" s="144"/>
      <c r="AC27" s="145"/>
      <c r="AD27" s="144"/>
      <c r="AE27" s="145"/>
      <c r="AF27" s="144"/>
      <c r="AG27" s="145"/>
      <c r="AH27" s="109"/>
      <c r="AI27" s="109"/>
      <c r="AJ27" s="144"/>
      <c r="AK27" s="145"/>
      <c r="AP27" s="25"/>
      <c r="AQ27" s="25"/>
      <c r="AR27" s="25"/>
      <c r="AS27" s="25"/>
      <c r="AT27" s="25"/>
      <c r="AU27" s="25"/>
      <c r="AW27" s="25"/>
      <c r="AX27" s="25"/>
      <c r="AY27" s="25"/>
      <c r="AZ27" s="25"/>
      <c r="BA27" s="25"/>
      <c r="BB27" s="25"/>
      <c r="BF27" s="25"/>
      <c r="BG27" s="25"/>
      <c r="BH27" s="25"/>
      <c r="BI27" s="25"/>
      <c r="BJ27" s="25"/>
      <c r="BK27" s="25"/>
      <c r="BM27" s="25"/>
      <c r="BN27" s="25"/>
      <c r="BO27" s="25"/>
      <c r="BP27" s="25"/>
      <c r="BQ27" s="25"/>
      <c r="BR27" s="25"/>
      <c r="BU27" s="25"/>
      <c r="BV27" s="25"/>
      <c r="BW27" s="25"/>
      <c r="BX27" s="25"/>
      <c r="BY27" s="25"/>
      <c r="BZ27" s="25"/>
      <c r="CB27" s="25"/>
      <c r="CC27" s="25"/>
      <c r="CD27" s="25"/>
      <c r="CE27" s="25"/>
      <c r="CF27" s="25"/>
      <c r="CG27" s="25"/>
    </row>
    <row r="28" spans="1:89" ht="14" customHeight="1">
      <c r="A28" s="2" t="s">
        <v>31</v>
      </c>
      <c r="B28" s="19" t="s">
        <v>16</v>
      </c>
      <c r="C28" s="19" t="s">
        <v>17</v>
      </c>
      <c r="D28" s="16" t="s">
        <v>16</v>
      </c>
      <c r="E28" s="19" t="s">
        <v>18</v>
      </c>
      <c r="F28" s="2" t="s">
        <v>32</v>
      </c>
      <c r="G28" s="2" t="s">
        <v>32</v>
      </c>
      <c r="H28" s="16" t="s">
        <v>18</v>
      </c>
      <c r="I28" s="19" t="s">
        <v>16</v>
      </c>
      <c r="J28" s="16" t="s">
        <v>16</v>
      </c>
      <c r="K28" s="37" t="s">
        <v>16</v>
      </c>
      <c r="L28" s="19" t="s">
        <v>20</v>
      </c>
      <c r="M28" s="16" t="s">
        <v>16</v>
      </c>
      <c r="N28" s="2"/>
      <c r="O28" s="2"/>
      <c r="P28" s="2"/>
      <c r="U28" s="56"/>
      <c r="V28" s="56"/>
      <c r="W28" s="109"/>
      <c r="X28" s="117"/>
      <c r="Y28" s="109"/>
      <c r="Z28" s="144"/>
      <c r="AA28" s="145"/>
      <c r="AB28" s="144"/>
      <c r="AC28" s="145"/>
      <c r="AD28" s="144"/>
      <c r="AE28" s="145"/>
      <c r="AF28" s="144"/>
      <c r="AG28" s="145"/>
      <c r="AH28" s="109"/>
      <c r="AI28" s="109"/>
      <c r="AJ28" s="144"/>
      <c r="AK28" s="145"/>
      <c r="AP28" s="25"/>
      <c r="AQ28" s="25"/>
      <c r="AR28" s="25"/>
      <c r="AS28" s="25"/>
      <c r="AT28" s="25"/>
      <c r="AU28" s="25"/>
      <c r="AW28" s="25"/>
      <c r="AX28" s="25"/>
      <c r="AY28" s="25"/>
      <c r="AZ28" s="25"/>
      <c r="BA28" s="25"/>
      <c r="BB28" s="25"/>
      <c r="BF28" s="25"/>
      <c r="BG28" s="25"/>
      <c r="BH28" s="25"/>
      <c r="BI28" s="25"/>
      <c r="BJ28" s="25"/>
      <c r="BK28" s="25"/>
      <c r="BM28" s="25"/>
      <c r="BN28" s="25"/>
      <c r="BO28" s="25"/>
      <c r="BP28" s="25"/>
      <c r="BQ28" s="25"/>
      <c r="BR28" s="25"/>
      <c r="BU28" s="25"/>
      <c r="BV28" s="25"/>
      <c r="BW28" s="25"/>
      <c r="BX28" s="25"/>
      <c r="BY28" s="25"/>
      <c r="BZ28" s="25"/>
      <c r="CB28" s="25"/>
      <c r="CC28" s="25"/>
      <c r="CD28" s="25"/>
      <c r="CE28" s="25"/>
      <c r="CF28" s="25"/>
      <c r="CG28" s="25"/>
    </row>
    <row r="29" spans="1:89" ht="14" customHeight="1">
      <c r="A29" s="74" t="str">
        <f>IF(Poor!A29=0,"",Poor!A29)</f>
        <v>Pig sales: no sold</v>
      </c>
      <c r="B29" s="103">
        <f>IF([1]Summ!$H1064="",0,[1]Summ!$H1064)</f>
        <v>1600</v>
      </c>
      <c r="C29" s="103">
        <f>IF([1]Summ!$H1064="",0,[1]Summ!$H1064)</f>
        <v>1600</v>
      </c>
      <c r="D29" s="38">
        <f t="shared" ref="D29:D51" si="17">B29+C29</f>
        <v>3200</v>
      </c>
      <c r="E29" s="75">
        <f>Poor!E29</f>
        <v>1</v>
      </c>
      <c r="F29" s="75">
        <f>Poor!F29</f>
        <v>1.03</v>
      </c>
      <c r="G29" s="75">
        <f>Poor!G29</f>
        <v>1.1200000000000001</v>
      </c>
      <c r="H29" s="24">
        <f t="shared" ref="H29:H51" si="18">(E29*F29)</f>
        <v>1.03</v>
      </c>
      <c r="I29" s="39">
        <f t="shared" ref="I29:I51" si="19">D29*H29</f>
        <v>3296</v>
      </c>
      <c r="J29" s="38">
        <f t="shared" ref="J29:J51" si="20">J78*I$70</f>
        <v>1630.1060202029214</v>
      </c>
      <c r="K29" s="40">
        <f t="shared" ref="K29:K51" si="21">(B29/B$52)</f>
        <v>1.807727319207603E-2</v>
      </c>
      <c r="L29" s="22">
        <f t="shared" ref="L29:L51" si="22">(K29*H29)</f>
        <v>1.8619591387838311E-2</v>
      </c>
      <c r="M29" s="24">
        <f t="shared" ref="M29:M51" si="23">J29/B$52</f>
        <v>1.8417419912035011E-2</v>
      </c>
      <c r="N29" s="2"/>
      <c r="O29" s="2"/>
      <c r="P29" s="2"/>
      <c r="Q29" s="178"/>
      <c r="R29" s="180"/>
      <c r="S29" s="180"/>
      <c r="T29" s="180"/>
      <c r="U29" s="56"/>
      <c r="V29" s="56"/>
      <c r="W29" s="114"/>
      <c r="X29" s="117"/>
      <c r="Y29" s="109"/>
      <c r="Z29" s="121">
        <f>IF($J29=0,0,AA29/($J29))</f>
        <v>0</v>
      </c>
      <c r="AA29" s="146">
        <f>IF(SUM(AA$6:AA$21)+(SUM(AA$31:AA$51,-AA$57)/AA$70)&lt;1,IF(SUM(AA$6:AA$21)+(SUM(AA$31:AA$51,$J$29:$J$30,-AA$57)/AA$70)&lt;1,$J29,(AA$70-(SUM(AA$6:AA$21)*AA$70)-SUM(AA$31:AA$51,-AA$57))*($J29/SUM($J$29:$J$30))),0)</f>
        <v>0</v>
      </c>
      <c r="AB29" s="121">
        <f>IF($J29=0,0,AC29/($J29))</f>
        <v>0</v>
      </c>
      <c r="AC29" s="146">
        <f>IF(SUM(AC$6:AC$21)+(SUM(AC$31:AC$51,-AC$57)/AC$70)&lt;1,IF(SUM(AC$6:AC$21)+((SUM(AC$31:AC$51,$J$29:$J$30,-AC$57)-SUM($AA$29:$AA$30))/AC$70)&lt;1,$J29-$AA29,(AC$70-(SUM(AC$6:AC$21)*AC$70)-SUM(AC$31:AC$51,-AC$57))*($J29/SUM($J$29:$J$30))),0)</f>
        <v>0</v>
      </c>
      <c r="AD29" s="121">
        <f>IF($J29=0,0,AE29/($J29))</f>
        <v>0</v>
      </c>
      <c r="AE29" s="146">
        <f>IF(SUM(AE$6:AE$21)+(SUM(AE$31:AE$51,-AE$57)/AE$70)&lt;1,IF(SUM(AE$6:AE$21)+((SUM(AE$31:AE$51,$J$29:$J$30,-AE$57)-SUM($AA$29:$AA$30)-SUM($AC$29:$AC$30))/AE$70)&lt;1,$J29-$AA29-$AC29,(AE$70-(SUM(AE$6:AE$21)*AE$70)-SUM(AE$31:AE$51,-AE$57))*($J29/SUM($J$29:$J$30))),0)</f>
        <v>0</v>
      </c>
      <c r="AF29" s="121">
        <f t="shared" ref="AF29:AF51" si="24">1-SUM(Z29,AB29,AD29)</f>
        <v>1</v>
      </c>
      <c r="AG29" s="146">
        <f>$J29*AF29</f>
        <v>1630.1060202029214</v>
      </c>
      <c r="AH29" s="122">
        <f>SUM(Z29,AB29,AD29,AF29)</f>
        <v>1</v>
      </c>
      <c r="AI29" s="111">
        <f>SUM(AA29,AC29,AE29,AG29)</f>
        <v>1630.1060202029214</v>
      </c>
      <c r="AJ29" s="147">
        <f>(AA29+AC29)</f>
        <v>0</v>
      </c>
      <c r="AK29" s="146">
        <f>(AE29+AG29)</f>
        <v>1630.1060202029214</v>
      </c>
      <c r="AP29" s="25"/>
      <c r="AQ29" s="25"/>
      <c r="AR29" s="25"/>
      <c r="AS29" s="25"/>
      <c r="AT29" s="25"/>
      <c r="AU29" s="25"/>
      <c r="AW29" s="25"/>
      <c r="AX29" s="25"/>
      <c r="AY29" s="25"/>
      <c r="AZ29" s="25"/>
      <c r="BA29" s="25"/>
      <c r="BB29" s="25"/>
      <c r="BF29" s="25"/>
      <c r="BG29" s="25"/>
      <c r="BH29" s="25"/>
      <c r="BI29" s="25"/>
      <c r="BJ29" s="25"/>
      <c r="BK29" s="25"/>
      <c r="BM29" s="25"/>
      <c r="BN29" s="25"/>
      <c r="BO29" s="25"/>
      <c r="BP29" s="25"/>
      <c r="BQ29" s="25"/>
      <c r="BR29" s="25"/>
      <c r="BU29" s="25"/>
      <c r="BV29" s="25"/>
      <c r="BW29" s="25"/>
      <c r="BX29" s="25"/>
      <c r="BY29" s="25"/>
      <c r="BZ29" s="25"/>
      <c r="CB29" s="25"/>
      <c r="CC29" s="25"/>
      <c r="CD29" s="25"/>
      <c r="CE29" s="25"/>
      <c r="CF29" s="25"/>
      <c r="CG29" s="25"/>
    </row>
    <row r="30" spans="1:89" ht="14" customHeight="1">
      <c r="A30" s="74" t="str">
        <f>IF(Poor!A30=0,"",Poor!A30)</f>
        <v>Cattle sales - local: no. sold</v>
      </c>
      <c r="B30" s="103">
        <f>IF([1]Summ!$H1065="",0,[1]Summ!$H1065)</f>
        <v>5000</v>
      </c>
      <c r="C30" s="103">
        <f>IF([1]Summ!$H1065="",0,[1]Summ!$H1065)</f>
        <v>5000</v>
      </c>
      <c r="D30" s="38">
        <f t="shared" si="17"/>
        <v>10000</v>
      </c>
      <c r="E30" s="75">
        <f>Poor!E30</f>
        <v>1</v>
      </c>
      <c r="F30" s="75">
        <f>Poor!F30</f>
        <v>1.1100000000000001</v>
      </c>
      <c r="G30" s="22">
        <f t="shared" ref="G30:G51" si="25">(G$29)</f>
        <v>1.1200000000000001</v>
      </c>
      <c r="H30" s="24">
        <f t="shared" si="18"/>
        <v>1.1100000000000001</v>
      </c>
      <c r="I30" s="39">
        <f t="shared" si="19"/>
        <v>11100.000000000002</v>
      </c>
      <c r="J30" s="38">
        <f t="shared" si="20"/>
        <v>5489.7381141542564</v>
      </c>
      <c r="K30" s="40">
        <f t="shared" si="21"/>
        <v>5.6491478725237597E-2</v>
      </c>
      <c r="L30" s="22">
        <f t="shared" si="22"/>
        <v>6.2705541385013733E-2</v>
      </c>
      <c r="M30" s="24">
        <f t="shared" si="23"/>
        <v>6.2024684776574232E-2</v>
      </c>
      <c r="N30" s="2"/>
      <c r="O30" s="2"/>
      <c r="P30" s="2"/>
      <c r="Q30" s="59"/>
      <c r="R30" s="180"/>
      <c r="S30" s="180"/>
      <c r="T30" s="180"/>
      <c r="U30" s="56"/>
      <c r="V30" s="56"/>
      <c r="W30" s="114"/>
      <c r="X30" s="117"/>
      <c r="Y30" s="109"/>
      <c r="Z30" s="121">
        <f>IF($J30=0,0,AA30/($J30))</f>
        <v>0</v>
      </c>
      <c r="AA30" s="146">
        <f>IF(SUM(AA$6:AA$21)+(SUM(AA$31:AA$51,-AA$57)/AA$70)&lt;1,IF(SUM(AA$6:AA$21)+(SUM(AA$31:AA$51,$J$29:$J$30,-AA$57)/AA$70)&lt;1,$J30,(AA$70-(SUM(AA$6:AA$21)*AA$70)-SUM(AA$31:AA$51,-AA$57))*($J30/SUM($J$29:$J$30))),0)</f>
        <v>0</v>
      </c>
      <c r="AB30" s="121">
        <f>IF($J30=0,0,AC30/($J30))</f>
        <v>0</v>
      </c>
      <c r="AC30" s="146">
        <f>IF(SUM(AC$6:AC$21)+(SUM(AC$31:AC$51,-AC$57)/AC$70)&lt;1,IF(SUM(AC$6:AC$21)+((SUM(AC$31:AC$51,$J$29:$J$30,-AC$57)-SUM($AA$29:$AA$30))/AC$70)&lt;1,$J30-$AA30,(AC$70-(SUM(AC$6:AC$21)*AC$70)-SUM(AC$31:AC$51,-AC$57))*($J30/SUM($J$29:$J$30))),0)</f>
        <v>0</v>
      </c>
      <c r="AD30" s="121">
        <f>IF($J30=0,0,AE30/($J30))</f>
        <v>0</v>
      </c>
      <c r="AE30" s="146">
        <f>IF(SUM(AE$6:AE$21)+(SUM(AE$31:AE$51,-AE$57)/AE$70)&lt;1,IF(SUM(AE$6:AE$21)+((SUM(AE$31:AE$51,$J$29:$J$30,-AE$57)-SUM($AA$29:$AA$30)-SUM($AC$29:$AC$30))/AE$70)&lt;1,$J30-$AA30-$AC30,(AE$70-(SUM(AE$6:AE$21)*AE$70)-SUM(AE$31:AE$51,-AE$57))*($J30/SUM($J$29:$J$30))),0)</f>
        <v>0</v>
      </c>
      <c r="AF30" s="121">
        <f t="shared" si="24"/>
        <v>1</v>
      </c>
      <c r="AG30" s="146">
        <f t="shared" ref="AG30:AG51" si="26">$J30*AF30</f>
        <v>5489.7381141542564</v>
      </c>
      <c r="AH30" s="122">
        <f t="shared" ref="AH30:AI45" si="27">SUM(Z30,AB30,AD30,AF30)</f>
        <v>1</v>
      </c>
      <c r="AI30" s="111">
        <f t="shared" si="27"/>
        <v>5489.7381141542564</v>
      </c>
      <c r="AJ30" s="147">
        <f t="shared" ref="AJ30:AJ51" si="28">(AA30+AC30)</f>
        <v>0</v>
      </c>
      <c r="AK30" s="146">
        <f t="shared" ref="AK30:AK51" si="29">(AE30+AG30)</f>
        <v>5489.7381141542564</v>
      </c>
      <c r="AP30" s="25"/>
      <c r="AQ30" s="25"/>
      <c r="AR30" s="25"/>
      <c r="AS30" s="25"/>
      <c r="AT30" s="25"/>
      <c r="AU30" s="25"/>
      <c r="AW30" s="25"/>
      <c r="AX30" s="25"/>
      <c r="AY30" s="25"/>
      <c r="AZ30" s="25"/>
      <c r="BA30" s="25"/>
      <c r="BB30" s="25"/>
      <c r="BF30" s="25"/>
      <c r="BG30" s="25"/>
      <c r="BH30" s="25"/>
      <c r="BI30" s="25"/>
      <c r="BJ30" s="25"/>
      <c r="BK30" s="25"/>
      <c r="BM30" s="25"/>
      <c r="BN30" s="25"/>
      <c r="BO30" s="25"/>
      <c r="BP30" s="25"/>
      <c r="BQ30" s="25"/>
      <c r="BR30" s="25"/>
      <c r="BU30" s="25"/>
      <c r="BV30" s="25"/>
      <c r="BW30" s="25"/>
      <c r="BX30" s="25"/>
      <c r="BY30" s="25"/>
      <c r="BZ30" s="25"/>
      <c r="CB30" s="25"/>
      <c r="CC30" s="25"/>
      <c r="CD30" s="25"/>
      <c r="CE30" s="25"/>
      <c r="CF30" s="25"/>
      <c r="CG30" s="25"/>
    </row>
    <row r="31" spans="1:89" ht="14" customHeight="1">
      <c r="A31" s="74" t="str">
        <f>IF(Poor!A31=0,"",Poor!A31)</f>
        <v>Goat sales - local: no. sold</v>
      </c>
      <c r="B31" s="103">
        <f>IF([1]Summ!$H1066="",0,[1]Summ!$H1066)</f>
        <v>1400</v>
      </c>
      <c r="C31" s="103">
        <f>IF([1]Summ!$H1066="",0,[1]Summ!$H1066)</f>
        <v>1400</v>
      </c>
      <c r="D31" s="38">
        <f t="shared" si="17"/>
        <v>2800</v>
      </c>
      <c r="E31" s="75">
        <f>Poor!E31</f>
        <v>1</v>
      </c>
      <c r="F31" s="75">
        <f>Poor!F31</f>
        <v>1.0900000000000001</v>
      </c>
      <c r="G31" s="22">
        <f t="shared" si="25"/>
        <v>1.1200000000000001</v>
      </c>
      <c r="H31" s="24">
        <f t="shared" si="18"/>
        <v>1.0900000000000001</v>
      </c>
      <c r="I31" s="39">
        <f t="shared" si="19"/>
        <v>3052</v>
      </c>
      <c r="J31" s="38">
        <f t="shared" si="20"/>
        <v>1509.4306958917828</v>
      </c>
      <c r="K31" s="40">
        <f t="shared" si="21"/>
        <v>1.5817614043066527E-2</v>
      </c>
      <c r="L31" s="22">
        <f t="shared" si="22"/>
        <v>1.7241199306942515E-2</v>
      </c>
      <c r="M31" s="24">
        <f t="shared" si="23"/>
        <v>1.7053994408838244E-2</v>
      </c>
      <c r="N31" s="2"/>
      <c r="O31" s="2"/>
      <c r="P31" s="2"/>
      <c r="Q31" s="2"/>
      <c r="R31" s="180"/>
      <c r="S31" s="180"/>
      <c r="T31" s="180"/>
      <c r="U31" s="56"/>
      <c r="V31" s="56"/>
      <c r="W31" s="114"/>
      <c r="X31" s="195">
        <f>X8</f>
        <v>1</v>
      </c>
      <c r="Y31" s="109"/>
      <c r="Z31" s="121">
        <f>Z8</f>
        <v>0.67937700962602343</v>
      </c>
      <c r="AA31" s="146">
        <f t="shared" ref="AA31:AA51" si="30">$J31*Z31</f>
        <v>1025.4725124126869</v>
      </c>
      <c r="AB31" s="121">
        <f>AB8</f>
        <v>0.32062299037397657</v>
      </c>
      <c r="AC31" s="146">
        <f t="shared" ref="AC31:AC51" si="31">$J31*AB31</f>
        <v>483.95818347909579</v>
      </c>
      <c r="AD31" s="121">
        <f>AD8</f>
        <v>0</v>
      </c>
      <c r="AE31" s="146">
        <f t="shared" ref="AE31:AE51" si="32">$J31*AD31</f>
        <v>0</v>
      </c>
      <c r="AF31" s="121">
        <f t="shared" si="24"/>
        <v>0</v>
      </c>
      <c r="AG31" s="146">
        <f t="shared" si="26"/>
        <v>0</v>
      </c>
      <c r="AH31" s="122">
        <f t="shared" si="27"/>
        <v>1</v>
      </c>
      <c r="AI31" s="111">
        <f t="shared" si="27"/>
        <v>1509.4306958917828</v>
      </c>
      <c r="AJ31" s="147">
        <f t="shared" si="28"/>
        <v>1509.4306958917828</v>
      </c>
      <c r="AK31" s="146">
        <f t="shared" si="29"/>
        <v>0</v>
      </c>
      <c r="AP31" s="25"/>
      <c r="AQ31" s="25"/>
      <c r="AR31" s="25"/>
      <c r="AS31" s="25"/>
      <c r="AT31" s="25"/>
      <c r="AU31" s="25"/>
      <c r="AW31" s="25"/>
      <c r="AX31" s="25"/>
      <c r="AY31" s="25"/>
      <c r="AZ31" s="25"/>
      <c r="BA31" s="25"/>
      <c r="BB31" s="25"/>
      <c r="BF31" s="25"/>
      <c r="BG31" s="25"/>
      <c r="BH31" s="25"/>
      <c r="BI31" s="25"/>
      <c r="BJ31" s="25"/>
      <c r="BK31" s="25"/>
      <c r="BM31" s="25"/>
      <c r="BN31" s="25"/>
      <c r="BO31" s="25"/>
      <c r="BP31" s="25"/>
      <c r="BQ31" s="25"/>
      <c r="BR31" s="25"/>
      <c r="BU31" s="25"/>
      <c r="BV31" s="25"/>
      <c r="BW31" s="25"/>
      <c r="BX31" s="25"/>
      <c r="BY31" s="25"/>
      <c r="BZ31" s="25"/>
      <c r="CB31" s="25"/>
      <c r="CC31" s="25"/>
      <c r="CD31" s="25"/>
      <c r="CE31" s="25"/>
      <c r="CF31" s="25"/>
      <c r="CG31" s="25"/>
    </row>
    <row r="32" spans="1:89" ht="14" customHeight="1">
      <c r="A32" s="74" t="str">
        <f>IF(Poor!A32=0,"",Poor!A32)</f>
        <v>Sheep sales - local: no. sold</v>
      </c>
      <c r="B32" s="103">
        <f>IF([1]Summ!$H1067="",0,[1]Summ!$H1067)</f>
        <v>400</v>
      </c>
      <c r="C32" s="103">
        <f>IF([1]Summ!$H1067="",0,[1]Summ!$H1067)</f>
        <v>400</v>
      </c>
      <c r="D32" s="38">
        <f t="shared" si="17"/>
        <v>800</v>
      </c>
      <c r="E32" s="75">
        <f>Poor!E32</f>
        <v>1</v>
      </c>
      <c r="F32" s="75">
        <f>Poor!F32</f>
        <v>1.0900000000000001</v>
      </c>
      <c r="G32" s="22">
        <f t="shared" si="25"/>
        <v>1.1200000000000001</v>
      </c>
      <c r="H32" s="24">
        <f t="shared" si="18"/>
        <v>1.0900000000000001</v>
      </c>
      <c r="I32" s="39">
        <f t="shared" si="19"/>
        <v>872.00000000000011</v>
      </c>
      <c r="J32" s="38">
        <f t="shared" si="20"/>
        <v>431.26591311193789</v>
      </c>
      <c r="K32" s="40">
        <f t="shared" si="21"/>
        <v>4.5193182980190075E-3</v>
      </c>
      <c r="L32" s="22">
        <f t="shared" si="22"/>
        <v>4.9260569448407185E-3</v>
      </c>
      <c r="M32" s="24">
        <f t="shared" si="23"/>
        <v>4.8725698310966414E-3</v>
      </c>
      <c r="N32" s="2"/>
      <c r="O32" s="2"/>
      <c r="P32" s="2"/>
      <c r="Q32" s="59" t="s">
        <v>145</v>
      </c>
      <c r="R32" s="180">
        <f>$B$57+((1-$D$21)*$B$70)</f>
        <v>16436.928182135824</v>
      </c>
      <c r="S32" s="180">
        <f>($B$57*$H$57)+((1-($D$21*$H$21))*$I$70)</f>
        <v>18678.904463959963</v>
      </c>
      <c r="T32" s="180">
        <f>($B$57*$H$57)+((1-($D$21*$H$21))*$I$70)</f>
        <v>18678.904463959963</v>
      </c>
      <c r="U32" s="56"/>
      <c r="V32" s="56"/>
      <c r="W32" s="114"/>
      <c r="X32" s="195">
        <f>X9</f>
        <v>1</v>
      </c>
      <c r="Y32" s="109"/>
      <c r="Z32" s="121">
        <f>Z9</f>
        <v>0.67937700962602343</v>
      </c>
      <c r="AA32" s="146">
        <f t="shared" si="30"/>
        <v>292.99214640362482</v>
      </c>
      <c r="AB32" s="121">
        <f>AB9</f>
        <v>0.32062299037397651</v>
      </c>
      <c r="AC32" s="146">
        <f t="shared" si="31"/>
        <v>138.27376670831305</v>
      </c>
      <c r="AD32" s="121">
        <f>AD9</f>
        <v>0</v>
      </c>
      <c r="AE32" s="146">
        <f t="shared" si="32"/>
        <v>0</v>
      </c>
      <c r="AF32" s="121">
        <f t="shared" si="24"/>
        <v>0</v>
      </c>
      <c r="AG32" s="146">
        <f t="shared" si="26"/>
        <v>0</v>
      </c>
      <c r="AH32" s="122">
        <f t="shared" si="27"/>
        <v>1</v>
      </c>
      <c r="AI32" s="111">
        <f t="shared" si="27"/>
        <v>431.26591311193783</v>
      </c>
      <c r="AJ32" s="147">
        <f t="shared" si="28"/>
        <v>431.26591311193783</v>
      </c>
      <c r="AK32" s="146">
        <f t="shared" si="29"/>
        <v>0</v>
      </c>
      <c r="AP32" s="25"/>
      <c r="AQ32" s="25"/>
      <c r="AR32" s="25"/>
      <c r="AS32" s="25"/>
      <c r="AT32" s="25"/>
      <c r="AU32" s="25"/>
      <c r="AW32" s="25"/>
      <c r="AX32" s="25"/>
      <c r="AY32" s="25"/>
      <c r="AZ32" s="25"/>
      <c r="BA32" s="25"/>
      <c r="BB32" s="25"/>
      <c r="BF32" s="25"/>
      <c r="BG32" s="25"/>
      <c r="BH32" s="25"/>
      <c r="BI32" s="25"/>
      <c r="BJ32" s="25"/>
      <c r="BK32" s="25"/>
      <c r="BM32" s="25"/>
      <c r="BN32" s="25"/>
      <c r="BO32" s="25"/>
      <c r="BP32" s="25"/>
      <c r="BQ32" s="25"/>
      <c r="BR32" s="25"/>
      <c r="BU32" s="25"/>
      <c r="BV32" s="25"/>
      <c r="BW32" s="25"/>
      <c r="BX32" s="25"/>
      <c r="BY32" s="25"/>
      <c r="BZ32" s="25"/>
      <c r="CB32" s="25"/>
      <c r="CC32" s="25"/>
      <c r="CD32" s="25"/>
      <c r="CE32" s="25"/>
      <c r="CF32" s="25"/>
      <c r="CG32" s="25"/>
    </row>
    <row r="33" spans="1:85" ht="14" customHeight="1">
      <c r="A33" s="74" t="str">
        <f>IF(Poor!A33=0,"",Poor!A33)</f>
        <v>Chicken sales: no. sold</v>
      </c>
      <c r="B33" s="103">
        <f>IF([1]Summ!$H1068="",0,[1]Summ!$H1068)</f>
        <v>100</v>
      </c>
      <c r="C33" s="103">
        <f>IF([1]Summ!$H1068="",0,[1]Summ!$H1068)</f>
        <v>100</v>
      </c>
      <c r="D33" s="38">
        <f t="shared" si="17"/>
        <v>200</v>
      </c>
      <c r="E33" s="75">
        <f>Poor!E33</f>
        <v>1</v>
      </c>
      <c r="F33" s="75">
        <f>Poor!F33</f>
        <v>1.0900000000000001</v>
      </c>
      <c r="G33" s="22">
        <f t="shared" si="25"/>
        <v>1.1200000000000001</v>
      </c>
      <c r="H33" s="24">
        <f t="shared" si="18"/>
        <v>1.0900000000000001</v>
      </c>
      <c r="I33" s="39">
        <f t="shared" si="19"/>
        <v>218.00000000000003</v>
      </c>
      <c r="J33" s="38">
        <f t="shared" si="20"/>
        <v>107.81647827798447</v>
      </c>
      <c r="K33" s="40">
        <f t="shared" si="21"/>
        <v>1.1298295745047519E-3</v>
      </c>
      <c r="L33" s="22">
        <f t="shared" si="22"/>
        <v>1.2315142362101796E-3</v>
      </c>
      <c r="M33" s="24">
        <f t="shared" si="23"/>
        <v>1.2181424577741603E-3</v>
      </c>
      <c r="N33" s="2"/>
      <c r="O33" s="2"/>
      <c r="P33" s="2"/>
      <c r="Q33" s="59" t="s">
        <v>146</v>
      </c>
      <c r="R33" s="180">
        <f>$B$57+$B$58+((1-$D$21)*$B$70)</f>
        <v>28120.928182135824</v>
      </c>
      <c r="S33" s="41">
        <f>(($B$57*$H$57)+($B$58*$H$58)+((1-($D$21*$H$21))*$I$70))</f>
        <v>31648.144463959969</v>
      </c>
      <c r="T33" s="41">
        <f>(($B$57*$H$57)+($B$58*$H$58)+((1-($D$21*$H$21))*$I$70))</f>
        <v>31648.144463959969</v>
      </c>
      <c r="U33" s="56"/>
      <c r="V33" s="56"/>
      <c r="W33" s="114"/>
      <c r="X33" s="195">
        <f>X11</f>
        <v>1</v>
      </c>
      <c r="Y33" s="109"/>
      <c r="Z33" s="121">
        <f>Z11</f>
        <v>0.67937700962602332</v>
      </c>
      <c r="AA33" s="146">
        <f t="shared" si="30"/>
        <v>73.24803660090619</v>
      </c>
      <c r="AB33" s="121">
        <f>AB11</f>
        <v>0.32062299037397662</v>
      </c>
      <c r="AC33" s="146">
        <f t="shared" si="31"/>
        <v>34.568441677078276</v>
      </c>
      <c r="AD33" s="121">
        <f>AD11</f>
        <v>0</v>
      </c>
      <c r="AE33" s="146">
        <f t="shared" si="32"/>
        <v>0</v>
      </c>
      <c r="AF33" s="121">
        <f t="shared" si="24"/>
        <v>0</v>
      </c>
      <c r="AG33" s="146">
        <f t="shared" si="26"/>
        <v>0</v>
      </c>
      <c r="AH33" s="122">
        <f t="shared" si="27"/>
        <v>1</v>
      </c>
      <c r="AI33" s="111">
        <f t="shared" si="27"/>
        <v>107.81647827798446</v>
      </c>
      <c r="AJ33" s="147">
        <f t="shared" si="28"/>
        <v>107.81647827798446</v>
      </c>
      <c r="AK33" s="146">
        <f t="shared" si="29"/>
        <v>0</v>
      </c>
      <c r="AP33" s="25"/>
      <c r="AQ33" s="25"/>
      <c r="AR33" s="25"/>
      <c r="AS33" s="25"/>
      <c r="AT33" s="25"/>
      <c r="AU33" s="25"/>
      <c r="AW33" s="25"/>
      <c r="AX33" s="25"/>
      <c r="AY33" s="25"/>
      <c r="AZ33" s="25"/>
      <c r="BA33" s="25"/>
      <c r="BB33" s="25"/>
      <c r="BF33" s="25"/>
      <c r="BG33" s="25"/>
      <c r="BH33" s="25"/>
      <c r="BI33" s="25"/>
      <c r="BJ33" s="25"/>
      <c r="BK33" s="25"/>
      <c r="BM33" s="25"/>
      <c r="BN33" s="25"/>
      <c r="BO33" s="25"/>
      <c r="BP33" s="25"/>
      <c r="BQ33" s="25"/>
      <c r="BR33" s="25"/>
      <c r="BU33" s="25"/>
      <c r="BV33" s="25"/>
      <c r="BW33" s="25"/>
      <c r="BX33" s="25"/>
      <c r="BY33" s="25"/>
      <c r="BZ33" s="25"/>
      <c r="CB33" s="25"/>
      <c r="CC33" s="25"/>
      <c r="CD33" s="25"/>
      <c r="CE33" s="25"/>
      <c r="CF33" s="25"/>
      <c r="CG33" s="25"/>
    </row>
    <row r="34" spans="1:85" ht="14" customHeight="1">
      <c r="A34" s="74" t="str">
        <f>IF(Poor!A34=0,"",Poor!A34)</f>
        <v>Maize: kg produced</v>
      </c>
      <c r="B34" s="103">
        <f>IF([1]Summ!$H1069="",0,[1]Summ!$H1069)</f>
        <v>0</v>
      </c>
      <c r="C34" s="103">
        <f>IF([1]Summ!$H1069="",0,[1]Summ!$H1069)</f>
        <v>0</v>
      </c>
      <c r="D34" s="38">
        <f t="shared" si="17"/>
        <v>0</v>
      </c>
      <c r="E34" s="75">
        <f>Poor!E34</f>
        <v>1</v>
      </c>
      <c r="F34" s="75">
        <f>Poor!F34</f>
        <v>1.02</v>
      </c>
      <c r="G34" s="22">
        <f t="shared" si="25"/>
        <v>1.1200000000000001</v>
      </c>
      <c r="H34" s="24">
        <f t="shared" si="18"/>
        <v>1.02</v>
      </c>
      <c r="I34" s="39">
        <f t="shared" si="19"/>
        <v>0</v>
      </c>
      <c r="J34" s="38">
        <f t="shared" si="20"/>
        <v>0</v>
      </c>
      <c r="K34" s="40">
        <f t="shared" si="21"/>
        <v>0</v>
      </c>
      <c r="L34" s="22">
        <f t="shared" si="22"/>
        <v>0</v>
      </c>
      <c r="M34" s="24">
        <f t="shared" si="23"/>
        <v>0</v>
      </c>
      <c r="N34" s="2"/>
      <c r="O34" s="2"/>
      <c r="P34" s="2"/>
      <c r="Q34" s="59" t="s">
        <v>147</v>
      </c>
      <c r="R34" s="180">
        <f>$B$57+$B$58+$B$59+((1-$D$21)*$B$70)</f>
        <v>48928.928182135824</v>
      </c>
      <c r="S34" s="41">
        <f>(($B$57*$H$57)+($B$58*$H$58)+($B$59*$H$59)+((1-($D$21*$H$21))*$I$70))</f>
        <v>54745.024463959962</v>
      </c>
      <c r="T34" s="41">
        <f>(($B$57*$H$57)+($B$58*$H$58)+($B$59*$H$59)+((1-($D$21*$H$21))*$I$70))</f>
        <v>54745.024463959962</v>
      </c>
      <c r="U34" s="56"/>
      <c r="V34" s="56"/>
      <c r="W34" s="114"/>
      <c r="X34" s="117"/>
      <c r="Y34" s="109"/>
      <c r="Z34" s="155">
        <f>Poor!Z34</f>
        <v>0.25</v>
      </c>
      <c r="AA34" s="146">
        <f t="shared" si="30"/>
        <v>0</v>
      </c>
      <c r="AB34" s="155">
        <f>Poor!AB34</f>
        <v>0</v>
      </c>
      <c r="AC34" s="146">
        <f t="shared" si="31"/>
        <v>0</v>
      </c>
      <c r="AD34" s="155">
        <f>Poor!AD34</f>
        <v>0.5</v>
      </c>
      <c r="AE34" s="146">
        <f t="shared" si="32"/>
        <v>0</v>
      </c>
      <c r="AF34" s="121">
        <f t="shared" si="24"/>
        <v>0.25</v>
      </c>
      <c r="AG34" s="146">
        <f t="shared" si="26"/>
        <v>0</v>
      </c>
      <c r="AH34" s="122">
        <f t="shared" si="27"/>
        <v>1</v>
      </c>
      <c r="AI34" s="111">
        <f t="shared" si="27"/>
        <v>0</v>
      </c>
      <c r="AJ34" s="147">
        <f t="shared" si="28"/>
        <v>0</v>
      </c>
      <c r="AK34" s="146">
        <f t="shared" si="29"/>
        <v>0</v>
      </c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5" ht="14" customHeight="1">
      <c r="A35" s="74" t="str">
        <f>IF(Poor!A35=0,"",Poor!A35)</f>
        <v>Cowpeas: kg produced</v>
      </c>
      <c r="B35" s="103">
        <f>IF([1]Summ!$H1070="",0,[1]Summ!$H1070)</f>
        <v>0</v>
      </c>
      <c r="C35" s="103">
        <f>IF([1]Summ!$H1070="",0,[1]Summ!$H1070)</f>
        <v>0</v>
      </c>
      <c r="D35" s="38">
        <f t="shared" si="17"/>
        <v>0</v>
      </c>
      <c r="E35" s="75">
        <f>Poor!E35</f>
        <v>1</v>
      </c>
      <c r="F35" s="75">
        <f>Poor!F35</f>
        <v>1</v>
      </c>
      <c r="G35" s="22">
        <f t="shared" si="25"/>
        <v>1.1200000000000001</v>
      </c>
      <c r="H35" s="24">
        <f t="shared" si="18"/>
        <v>1</v>
      </c>
      <c r="I35" s="39">
        <f t="shared" si="19"/>
        <v>0</v>
      </c>
      <c r="J35" s="38">
        <f t="shared" si="20"/>
        <v>0</v>
      </c>
      <c r="K35" s="40">
        <f t="shared" si="21"/>
        <v>0</v>
      </c>
      <c r="L35" s="22">
        <f t="shared" si="22"/>
        <v>0</v>
      </c>
      <c r="M35" s="24">
        <f t="shared" si="23"/>
        <v>0</v>
      </c>
      <c r="N35" s="2"/>
      <c r="O35" s="2"/>
      <c r="P35" s="2"/>
      <c r="Q35" s="59" t="s">
        <v>148</v>
      </c>
      <c r="R35" s="180">
        <f>$B$57+$B$58+$B$59+$B$60+((1-$D$20-$D$21)*$B$70)</f>
        <v>71348.928182135816</v>
      </c>
      <c r="S35" s="41">
        <f>(($B$57*$H$57)+($B$58*$H$58)+($B$59*$H$59)+($B$60*$H$60)+((1-($D$20*$H$20)-($D$21*$H$21))*$I$70))</f>
        <v>79631.224463959967</v>
      </c>
      <c r="T35" s="41">
        <f>(($B$57*$H$57)+($B$58*$H$58)+($B$59*$H$59)+($B$60*$H$60)+((1-($D$20*$H$20)-($D$21*$H$21))*$I$70))</f>
        <v>79631.224463959967</v>
      </c>
      <c r="U35" s="56"/>
      <c r="V35" s="56"/>
      <c r="W35" s="114"/>
      <c r="X35" s="117"/>
      <c r="Y35" s="109"/>
      <c r="Z35" s="155">
        <f>Poor!Z35</f>
        <v>0.25</v>
      </c>
      <c r="AA35" s="146">
        <f t="shared" si="30"/>
        <v>0</v>
      </c>
      <c r="AB35" s="155">
        <f>Poor!AB35</f>
        <v>0.25</v>
      </c>
      <c r="AC35" s="146">
        <f t="shared" si="31"/>
        <v>0</v>
      </c>
      <c r="AD35" s="155">
        <f>Poor!AD35</f>
        <v>0.25</v>
      </c>
      <c r="AE35" s="146">
        <f t="shared" si="32"/>
        <v>0</v>
      </c>
      <c r="AF35" s="121">
        <f t="shared" si="24"/>
        <v>0.25</v>
      </c>
      <c r="AG35" s="146">
        <f t="shared" si="26"/>
        <v>0</v>
      </c>
      <c r="AH35" s="122">
        <f t="shared" si="27"/>
        <v>1</v>
      </c>
      <c r="AI35" s="111">
        <f t="shared" si="27"/>
        <v>0</v>
      </c>
      <c r="AJ35" s="147">
        <f t="shared" si="28"/>
        <v>0</v>
      </c>
      <c r="AK35" s="146">
        <f t="shared" si="29"/>
        <v>0</v>
      </c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5" ht="14" customHeight="1">
      <c r="A36" s="74" t="str">
        <f>IF(Poor!A36=0,"",Poor!A36)</f>
        <v>Pumpkin: kg produce</v>
      </c>
      <c r="B36" s="103">
        <f>IF([1]Summ!$H1071="",0,[1]Summ!$H1071)</f>
        <v>0</v>
      </c>
      <c r="C36" s="103">
        <f>IF([1]Summ!$H1071="",0,[1]Summ!$H1071)</f>
        <v>0</v>
      </c>
      <c r="D36" s="38">
        <f t="shared" si="17"/>
        <v>0</v>
      </c>
      <c r="E36" s="75">
        <f>Poor!E36</f>
        <v>1</v>
      </c>
      <c r="F36" s="75">
        <f>Poor!F36</f>
        <v>1.1000000000000001</v>
      </c>
      <c r="G36" s="22">
        <f t="shared" si="25"/>
        <v>1.1200000000000001</v>
      </c>
      <c r="H36" s="24">
        <f t="shared" si="18"/>
        <v>1.1000000000000001</v>
      </c>
      <c r="I36" s="39">
        <f t="shared" si="19"/>
        <v>0</v>
      </c>
      <c r="J36" s="38">
        <f t="shared" si="20"/>
        <v>0</v>
      </c>
      <c r="K36" s="40">
        <f t="shared" si="21"/>
        <v>0</v>
      </c>
      <c r="L36" s="22">
        <f t="shared" si="22"/>
        <v>0</v>
      </c>
      <c r="M36" s="24">
        <f t="shared" si="23"/>
        <v>0</v>
      </c>
      <c r="N36" s="2"/>
      <c r="O36" s="2"/>
      <c r="P36" s="2"/>
      <c r="Q36" s="59"/>
      <c r="R36" s="219"/>
      <c r="S36" s="219"/>
      <c r="T36" s="219"/>
      <c r="U36" s="56"/>
      <c r="V36" s="56"/>
      <c r="W36" s="116"/>
      <c r="X36" s="117"/>
      <c r="Y36" s="109"/>
      <c r="Z36" s="155">
        <f>Poor!Z36</f>
        <v>0.25</v>
      </c>
      <c r="AA36" s="146">
        <f t="shared" si="30"/>
        <v>0</v>
      </c>
      <c r="AB36" s="155">
        <f>Poor!AB36</f>
        <v>0.25</v>
      </c>
      <c r="AC36" s="146">
        <f t="shared" si="31"/>
        <v>0</v>
      </c>
      <c r="AD36" s="155">
        <f>Poor!AD36</f>
        <v>0.25</v>
      </c>
      <c r="AE36" s="146">
        <f t="shared" si="32"/>
        <v>0</v>
      </c>
      <c r="AF36" s="121">
        <f t="shared" si="24"/>
        <v>0.25</v>
      </c>
      <c r="AG36" s="146">
        <f t="shared" si="26"/>
        <v>0</v>
      </c>
      <c r="AH36" s="122">
        <f t="shared" si="27"/>
        <v>1</v>
      </c>
      <c r="AI36" s="111">
        <f t="shared" si="27"/>
        <v>0</v>
      </c>
      <c r="AJ36" s="147">
        <f t="shared" si="28"/>
        <v>0</v>
      </c>
      <c r="AK36" s="146">
        <f t="shared" si="29"/>
        <v>0</v>
      </c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5" ht="14" customHeight="1">
      <c r="A37" s="74" t="str">
        <f>IF(Poor!A37=0,"",Poor!A37)</f>
        <v>Cabbage: number produced</v>
      </c>
      <c r="B37" s="103">
        <f>IF([1]Summ!$H1072="",0,[1]Summ!$H1072)</f>
        <v>150</v>
      </c>
      <c r="C37" s="103">
        <f>IF([1]Summ!$H1072="",0,[1]Summ!$H1072)</f>
        <v>150</v>
      </c>
      <c r="D37" s="38">
        <f t="shared" si="17"/>
        <v>300</v>
      </c>
      <c r="E37" s="75">
        <f>Poor!E37</f>
        <v>1</v>
      </c>
      <c r="F37" s="75">
        <f>Poor!F37</f>
        <v>1.08</v>
      </c>
      <c r="G37" s="22">
        <f t="shared" si="25"/>
        <v>1.1200000000000001</v>
      </c>
      <c r="H37" s="24">
        <f t="shared" si="18"/>
        <v>1.08</v>
      </c>
      <c r="I37" s="39">
        <f t="shared" si="19"/>
        <v>324</v>
      </c>
      <c r="J37" s="38">
        <f t="shared" si="20"/>
        <v>160.24100441315127</v>
      </c>
      <c r="K37" s="40">
        <f t="shared" si="21"/>
        <v>1.6947443617571279E-3</v>
      </c>
      <c r="L37" s="22">
        <f t="shared" si="22"/>
        <v>1.8303239106976983E-3</v>
      </c>
      <c r="M37" s="24">
        <f t="shared" si="23"/>
        <v>1.8104502583432477E-3</v>
      </c>
      <c r="N37" s="2"/>
      <c r="O37" s="2"/>
      <c r="P37" s="2"/>
      <c r="Q37" s="56"/>
      <c r="R37" s="56"/>
      <c r="S37" s="56"/>
      <c r="T37" s="56"/>
      <c r="U37" s="56"/>
      <c r="V37" s="56"/>
      <c r="W37" s="109"/>
      <c r="X37" s="117"/>
      <c r="Y37" s="109"/>
      <c r="Z37" s="155">
        <f>Poor!Z37</f>
        <v>0.25</v>
      </c>
      <c r="AA37" s="146">
        <f t="shared" si="30"/>
        <v>40.060251103287818</v>
      </c>
      <c r="AB37" s="155">
        <f>Poor!AB37</f>
        <v>0.25</v>
      </c>
      <c r="AC37" s="146">
        <f t="shared" si="31"/>
        <v>40.060251103287818</v>
      </c>
      <c r="AD37" s="155">
        <f>Poor!AD37</f>
        <v>0.25</v>
      </c>
      <c r="AE37" s="146">
        <f t="shared" si="32"/>
        <v>40.060251103287818</v>
      </c>
      <c r="AF37" s="121">
        <f t="shared" si="24"/>
        <v>0.25</v>
      </c>
      <c r="AG37" s="146">
        <f t="shared" si="26"/>
        <v>40.060251103287818</v>
      </c>
      <c r="AH37" s="122">
        <f t="shared" si="27"/>
        <v>1</v>
      </c>
      <c r="AI37" s="111">
        <f t="shared" si="27"/>
        <v>160.24100441315127</v>
      </c>
      <c r="AJ37" s="147">
        <f t="shared" si="28"/>
        <v>80.120502206575637</v>
      </c>
      <c r="AK37" s="146">
        <f t="shared" si="29"/>
        <v>80.120502206575637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5" ht="14" customHeight="1">
      <c r="A38" s="74" t="str">
        <f>IF(Poor!A38=0,"",Poor!A38)</f>
        <v>Tomato: kg produced</v>
      </c>
      <c r="B38" s="103">
        <f>IF([1]Summ!$H1073="",0,[1]Summ!$H1073)</f>
        <v>0</v>
      </c>
      <c r="C38" s="103">
        <f>IF([1]Summ!$H1073="",0,[1]Summ!$H1073)</f>
        <v>0</v>
      </c>
      <c r="D38" s="38">
        <f t="shared" si="17"/>
        <v>0</v>
      </c>
      <c r="E38" s="75">
        <f>Poor!E38</f>
        <v>1</v>
      </c>
      <c r="F38" s="75">
        <f>Poor!F38</f>
        <v>0.94</v>
      </c>
      <c r="G38" s="22">
        <f t="shared" si="25"/>
        <v>1.1200000000000001</v>
      </c>
      <c r="H38" s="24">
        <f t="shared" si="18"/>
        <v>0.94</v>
      </c>
      <c r="I38" s="39">
        <f t="shared" si="19"/>
        <v>0</v>
      </c>
      <c r="J38" s="38">
        <f t="shared" si="20"/>
        <v>0</v>
      </c>
      <c r="K38" s="40">
        <f t="shared" si="21"/>
        <v>0</v>
      </c>
      <c r="L38" s="22">
        <f t="shared" si="22"/>
        <v>0</v>
      </c>
      <c r="M38" s="24">
        <f t="shared" si="23"/>
        <v>0</v>
      </c>
      <c r="N38" s="2"/>
      <c r="O38" s="2"/>
      <c r="P38" s="2"/>
      <c r="Q38" s="59"/>
      <c r="R38" s="219"/>
      <c r="S38" s="219"/>
      <c r="T38" s="219"/>
      <c r="U38" s="56"/>
      <c r="V38" s="56"/>
      <c r="W38" s="109"/>
      <c r="X38" s="117"/>
      <c r="Y38" s="109"/>
      <c r="Z38" s="155">
        <f>Poor!Z38</f>
        <v>0.25</v>
      </c>
      <c r="AA38" s="146">
        <f t="shared" si="30"/>
        <v>0</v>
      </c>
      <c r="AB38" s="155">
        <f>Poor!AB38</f>
        <v>0.25</v>
      </c>
      <c r="AC38" s="146">
        <f t="shared" si="31"/>
        <v>0</v>
      </c>
      <c r="AD38" s="155">
        <f>Poor!AD38</f>
        <v>0.25</v>
      </c>
      <c r="AE38" s="146">
        <f t="shared" si="32"/>
        <v>0</v>
      </c>
      <c r="AF38" s="121">
        <f t="shared" si="24"/>
        <v>0.25</v>
      </c>
      <c r="AG38" s="146">
        <f t="shared" si="26"/>
        <v>0</v>
      </c>
      <c r="AH38" s="122">
        <f t="shared" si="27"/>
        <v>1</v>
      </c>
      <c r="AI38" s="111">
        <f t="shared" si="27"/>
        <v>0</v>
      </c>
      <c r="AJ38" s="147">
        <f t="shared" si="28"/>
        <v>0</v>
      </c>
      <c r="AK38" s="146">
        <f t="shared" si="29"/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5" ht="14" customHeight="1">
      <c r="A39" s="74" t="str">
        <f>IF(Poor!A39=0,"",Poor!A39)</f>
        <v>Onions: kg produced</v>
      </c>
      <c r="B39" s="103">
        <f>IF([1]Summ!$H1074="",0,[1]Summ!$H1074)</f>
        <v>0</v>
      </c>
      <c r="C39" s="103">
        <f>IF([1]Summ!$H1074="",0,[1]Summ!$H1074)</f>
        <v>0</v>
      </c>
      <c r="D39" s="38">
        <f t="shared" si="17"/>
        <v>0</v>
      </c>
      <c r="E39" s="75">
        <f>Poor!E39</f>
        <v>1</v>
      </c>
      <c r="F39" s="75">
        <f>Poor!F39</f>
        <v>0.93</v>
      </c>
      <c r="G39" s="22">
        <f t="shared" si="25"/>
        <v>1.1200000000000001</v>
      </c>
      <c r="H39" s="24">
        <f t="shared" si="18"/>
        <v>0.93</v>
      </c>
      <c r="I39" s="39">
        <f t="shared" si="19"/>
        <v>0</v>
      </c>
      <c r="J39" s="38">
        <f t="shared" si="20"/>
        <v>0</v>
      </c>
      <c r="K39" s="40">
        <f t="shared" si="21"/>
        <v>0</v>
      </c>
      <c r="L39" s="22">
        <f t="shared" si="22"/>
        <v>0</v>
      </c>
      <c r="M39" s="24">
        <f t="shared" si="23"/>
        <v>0</v>
      </c>
      <c r="N39" s="2"/>
      <c r="O39" s="2"/>
      <c r="P39" s="2"/>
      <c r="Q39" s="2"/>
      <c r="R39" s="2"/>
      <c r="S39" s="2"/>
      <c r="T39" s="2"/>
      <c r="U39" s="56"/>
      <c r="V39" s="56"/>
      <c r="W39" s="109"/>
      <c r="X39" s="117"/>
      <c r="Y39" s="109"/>
      <c r="Z39" s="155">
        <f>Poor!Z39</f>
        <v>0.25</v>
      </c>
      <c r="AA39" s="146">
        <f t="shared" si="30"/>
        <v>0</v>
      </c>
      <c r="AB39" s="155">
        <f>Poor!AB39</f>
        <v>0.25</v>
      </c>
      <c r="AC39" s="146">
        <f t="shared" si="31"/>
        <v>0</v>
      </c>
      <c r="AD39" s="155">
        <f>Poor!AD39</f>
        <v>0.25</v>
      </c>
      <c r="AE39" s="146">
        <f t="shared" si="32"/>
        <v>0</v>
      </c>
      <c r="AF39" s="121">
        <f t="shared" si="24"/>
        <v>0.25</v>
      </c>
      <c r="AG39" s="146">
        <f t="shared" si="26"/>
        <v>0</v>
      </c>
      <c r="AH39" s="122">
        <f t="shared" si="27"/>
        <v>1</v>
      </c>
      <c r="AI39" s="111">
        <f t="shared" si="27"/>
        <v>0</v>
      </c>
      <c r="AJ39" s="147">
        <f t="shared" si="28"/>
        <v>0</v>
      </c>
      <c r="AK39" s="146">
        <f t="shared" si="2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5" ht="14" customHeight="1">
      <c r="A40" s="74" t="str">
        <f>IF(Poor!A40=0,"",Poor!A40)</f>
        <v>Beetroot: kg produced</v>
      </c>
      <c r="B40" s="103">
        <f>IF([1]Summ!$H1075="",0,[1]Summ!$H1075)</f>
        <v>0</v>
      </c>
      <c r="C40" s="103">
        <f>IF([1]Summ!$H1075="",0,[1]Summ!$H1075)</f>
        <v>0</v>
      </c>
      <c r="D40" s="38">
        <f t="shared" si="17"/>
        <v>0</v>
      </c>
      <c r="E40" s="75">
        <f>Poor!E40</f>
        <v>1</v>
      </c>
      <c r="F40" s="75">
        <f>Poor!F40</f>
        <v>1</v>
      </c>
      <c r="G40" s="22">
        <f t="shared" si="25"/>
        <v>1.1200000000000001</v>
      </c>
      <c r="H40" s="24">
        <f t="shared" si="18"/>
        <v>1</v>
      </c>
      <c r="I40" s="39">
        <f t="shared" si="19"/>
        <v>0</v>
      </c>
      <c r="J40" s="38">
        <f t="shared" si="20"/>
        <v>0</v>
      </c>
      <c r="K40" s="40">
        <f t="shared" si="21"/>
        <v>0</v>
      </c>
      <c r="L40" s="22">
        <f t="shared" si="22"/>
        <v>0</v>
      </c>
      <c r="M40" s="24">
        <f t="shared" si="23"/>
        <v>0</v>
      </c>
      <c r="N40" s="2"/>
      <c r="O40" s="2"/>
      <c r="P40" s="2"/>
      <c r="Q40" s="2"/>
      <c r="R40" s="2"/>
      <c r="S40" s="2"/>
      <c r="T40" s="2"/>
      <c r="U40" s="56"/>
      <c r="V40" s="56"/>
      <c r="W40" s="109"/>
      <c r="X40" s="117"/>
      <c r="Y40" s="109"/>
      <c r="Z40" s="155">
        <f>Poor!Z40</f>
        <v>0.25</v>
      </c>
      <c r="AA40" s="146">
        <f t="shared" si="30"/>
        <v>0</v>
      </c>
      <c r="AB40" s="155">
        <f>Poor!AB40</f>
        <v>0.25</v>
      </c>
      <c r="AC40" s="146">
        <f t="shared" si="31"/>
        <v>0</v>
      </c>
      <c r="AD40" s="155">
        <f>Poor!AD40</f>
        <v>0.25</v>
      </c>
      <c r="AE40" s="146">
        <f t="shared" si="32"/>
        <v>0</v>
      </c>
      <c r="AF40" s="121">
        <f t="shared" si="24"/>
        <v>0.25</v>
      </c>
      <c r="AG40" s="146">
        <f t="shared" si="26"/>
        <v>0</v>
      </c>
      <c r="AH40" s="122">
        <f t="shared" si="27"/>
        <v>1</v>
      </c>
      <c r="AI40" s="111">
        <f t="shared" si="27"/>
        <v>0</v>
      </c>
      <c r="AJ40" s="147">
        <f t="shared" si="28"/>
        <v>0</v>
      </c>
      <c r="AK40" s="146">
        <f t="shared" si="2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5" ht="14" customHeight="1">
      <c r="A41" s="74" t="str">
        <f>IF(Poor!A41=0,"",Poor!A41)</f>
        <v>Spinach: kg produced</v>
      </c>
      <c r="B41" s="103">
        <f>IF([1]Summ!$H1076="",0,[1]Summ!$H1076)</f>
        <v>0</v>
      </c>
      <c r="C41" s="103">
        <f>IF([1]Summ!$H1076="",0,[1]Summ!$H1076)</f>
        <v>0</v>
      </c>
      <c r="D41" s="38">
        <f t="shared" si="17"/>
        <v>0</v>
      </c>
      <c r="E41" s="75">
        <f>Poor!E41</f>
        <v>1</v>
      </c>
      <c r="F41" s="75">
        <f>Poor!F41</f>
        <v>1.03</v>
      </c>
      <c r="G41" s="22">
        <f t="shared" si="25"/>
        <v>1.1200000000000001</v>
      </c>
      <c r="H41" s="24">
        <f t="shared" si="18"/>
        <v>1.03</v>
      </c>
      <c r="I41" s="39">
        <f t="shared" si="19"/>
        <v>0</v>
      </c>
      <c r="J41" s="38">
        <f t="shared" si="20"/>
        <v>0</v>
      </c>
      <c r="K41" s="40">
        <f t="shared" si="21"/>
        <v>0</v>
      </c>
      <c r="L41" s="22">
        <f t="shared" si="22"/>
        <v>0</v>
      </c>
      <c r="M41" s="24">
        <f t="shared" si="23"/>
        <v>0</v>
      </c>
      <c r="N41" s="2"/>
      <c r="O41" s="2"/>
      <c r="P41" s="2"/>
      <c r="Q41" s="2"/>
      <c r="R41" s="2"/>
      <c r="S41" s="2"/>
      <c r="T41" s="2"/>
      <c r="U41" s="56"/>
      <c r="V41" s="56"/>
      <c r="W41" s="109"/>
      <c r="X41" s="117"/>
      <c r="Y41" s="109"/>
      <c r="Z41" s="155">
        <f>Poor!Z41</f>
        <v>0.25</v>
      </c>
      <c r="AA41" s="146">
        <f t="shared" si="30"/>
        <v>0</v>
      </c>
      <c r="AB41" s="155">
        <f>Poor!AB41</f>
        <v>0.25</v>
      </c>
      <c r="AC41" s="146">
        <f t="shared" si="31"/>
        <v>0</v>
      </c>
      <c r="AD41" s="155">
        <f>Poor!AD41</f>
        <v>0.25</v>
      </c>
      <c r="AE41" s="146">
        <f t="shared" si="32"/>
        <v>0</v>
      </c>
      <c r="AF41" s="121">
        <f t="shared" si="24"/>
        <v>0.25</v>
      </c>
      <c r="AG41" s="146">
        <f t="shared" si="26"/>
        <v>0</v>
      </c>
      <c r="AH41" s="122">
        <f t="shared" si="27"/>
        <v>1</v>
      </c>
      <c r="AI41" s="111">
        <f t="shared" si="27"/>
        <v>0</v>
      </c>
      <c r="AJ41" s="147">
        <f t="shared" si="28"/>
        <v>0</v>
      </c>
      <c r="AK41" s="146">
        <f t="shared" si="2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5" ht="14" customHeight="1">
      <c r="A42" s="74" t="str">
        <f>IF(Poor!A42=0,"",Poor!A42)</f>
        <v>WILD FOODS -- see worksheet Data 3</v>
      </c>
      <c r="B42" s="103">
        <f>IF([1]Summ!$H1077="",0,[1]Summ!$H1077)</f>
        <v>0</v>
      </c>
      <c r="C42" s="103">
        <f>IF([1]Summ!$H1077="",0,[1]Summ!$H1077)</f>
        <v>0</v>
      </c>
      <c r="D42" s="38">
        <f t="shared" si="17"/>
        <v>0</v>
      </c>
      <c r="E42" s="75">
        <f>Poor!E42</f>
        <v>0.8</v>
      </c>
      <c r="F42" s="75">
        <f>Poor!F42</f>
        <v>1</v>
      </c>
      <c r="G42" s="22">
        <f t="shared" si="25"/>
        <v>1.1200000000000001</v>
      </c>
      <c r="H42" s="24">
        <f t="shared" si="18"/>
        <v>0.8</v>
      </c>
      <c r="I42" s="39">
        <f t="shared" si="19"/>
        <v>0</v>
      </c>
      <c r="J42" s="38">
        <f t="shared" si="20"/>
        <v>0</v>
      </c>
      <c r="K42" s="40">
        <f t="shared" si="21"/>
        <v>0</v>
      </c>
      <c r="L42" s="22">
        <f t="shared" si="22"/>
        <v>0</v>
      </c>
      <c r="M42" s="24">
        <f t="shared" si="23"/>
        <v>0</v>
      </c>
      <c r="N42" s="2"/>
      <c r="O42" s="2"/>
      <c r="P42" s="2"/>
      <c r="Q42" s="2"/>
      <c r="R42" s="2"/>
      <c r="S42" s="2"/>
      <c r="T42" s="2"/>
      <c r="U42" s="56"/>
      <c r="V42" s="56"/>
      <c r="W42" s="109"/>
      <c r="X42" s="117"/>
      <c r="Y42" s="109"/>
      <c r="Z42" s="155">
        <f>Poor!Z42</f>
        <v>0.25</v>
      </c>
      <c r="AA42" s="146">
        <f t="shared" si="30"/>
        <v>0</v>
      </c>
      <c r="AB42" s="155">
        <f>Poor!AB42</f>
        <v>0.25</v>
      </c>
      <c r="AC42" s="146">
        <f t="shared" si="31"/>
        <v>0</v>
      </c>
      <c r="AD42" s="155">
        <f>Poor!AD42</f>
        <v>0.25</v>
      </c>
      <c r="AE42" s="146">
        <f t="shared" si="32"/>
        <v>0</v>
      </c>
      <c r="AF42" s="121">
        <f t="shared" si="24"/>
        <v>0.25</v>
      </c>
      <c r="AG42" s="146">
        <f t="shared" si="26"/>
        <v>0</v>
      </c>
      <c r="AH42" s="122">
        <f t="shared" si="27"/>
        <v>1</v>
      </c>
      <c r="AI42" s="111">
        <f t="shared" si="27"/>
        <v>0</v>
      </c>
      <c r="AJ42" s="147">
        <f t="shared" si="28"/>
        <v>0</v>
      </c>
      <c r="AK42" s="146">
        <f t="shared" si="2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5" ht="14" customHeight="1">
      <c r="A43" s="74" t="str">
        <f>IF(Poor!A43=0,"",Poor!A43)</f>
        <v>Agricultural cash income -- see Data2</v>
      </c>
      <c r="B43" s="103">
        <f>IF([1]Summ!$H1078="",0,[1]Summ!$H1078)</f>
        <v>980</v>
      </c>
      <c r="C43" s="103">
        <f>IF([1]Summ!$H1078="",0,[1]Summ!$H1078)</f>
        <v>980</v>
      </c>
      <c r="D43" s="38">
        <f t="shared" si="17"/>
        <v>1960</v>
      </c>
      <c r="E43" s="75">
        <f>Poor!E43</f>
        <v>0.87</v>
      </c>
      <c r="F43" s="75">
        <f>Poor!F43</f>
        <v>1.1100000000000001</v>
      </c>
      <c r="G43" s="22">
        <f t="shared" si="25"/>
        <v>1.1200000000000001</v>
      </c>
      <c r="H43" s="24">
        <f t="shared" si="18"/>
        <v>0.96570000000000011</v>
      </c>
      <c r="I43" s="39">
        <f t="shared" si="19"/>
        <v>1892.7720000000002</v>
      </c>
      <c r="J43" s="38">
        <f t="shared" si="20"/>
        <v>936.11014322558367</v>
      </c>
      <c r="K43" s="40">
        <f t="shared" si="21"/>
        <v>1.1072329830146568E-2</v>
      </c>
      <c r="L43" s="22">
        <f t="shared" si="22"/>
        <v>1.0692548916972543E-2</v>
      </c>
      <c r="M43" s="24">
        <f t="shared" si="23"/>
        <v>1.0576449248101435E-2</v>
      </c>
      <c r="N43" s="2"/>
      <c r="O43" s="2"/>
      <c r="P43" s="2"/>
      <c r="Q43" s="2"/>
      <c r="R43" s="2"/>
      <c r="S43" s="2"/>
      <c r="T43" s="2"/>
      <c r="U43" s="56"/>
      <c r="V43" s="56"/>
      <c r="W43" s="109"/>
      <c r="X43" s="117"/>
      <c r="Y43" s="109"/>
      <c r="Z43" s="155">
        <f>Poor!Z43</f>
        <v>0.25</v>
      </c>
      <c r="AA43" s="146">
        <f t="shared" si="30"/>
        <v>234.02753580639592</v>
      </c>
      <c r="AB43" s="155">
        <f>Poor!AB43</f>
        <v>0.25</v>
      </c>
      <c r="AC43" s="146">
        <f t="shared" si="31"/>
        <v>234.02753580639592</v>
      </c>
      <c r="AD43" s="155">
        <f>Poor!AD43</f>
        <v>0.25</v>
      </c>
      <c r="AE43" s="146">
        <f t="shared" si="32"/>
        <v>234.02753580639592</v>
      </c>
      <c r="AF43" s="121">
        <f t="shared" si="24"/>
        <v>0.25</v>
      </c>
      <c r="AG43" s="146">
        <f t="shared" si="26"/>
        <v>234.02753580639592</v>
      </c>
      <c r="AH43" s="122">
        <f t="shared" si="27"/>
        <v>1</v>
      </c>
      <c r="AI43" s="111">
        <f t="shared" si="27"/>
        <v>936.11014322558367</v>
      </c>
      <c r="AJ43" s="147">
        <f t="shared" si="28"/>
        <v>468.05507161279183</v>
      </c>
      <c r="AK43" s="146">
        <f t="shared" si="29"/>
        <v>468.05507161279183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5" ht="14" customHeight="1">
      <c r="A44" s="74" t="str">
        <f>IF(Poor!A44=0,"",Poor!A44)</f>
        <v>Domestic work cash income -- see Data2</v>
      </c>
      <c r="B44" s="103">
        <f>IF([1]Summ!$H1079="",0,[1]Summ!$H1079)</f>
        <v>0</v>
      </c>
      <c r="C44" s="103">
        <f>IF([1]Summ!$H1079="",0,[1]Summ!$H1079)</f>
        <v>0</v>
      </c>
      <c r="D44" s="38">
        <f t="shared" si="17"/>
        <v>0</v>
      </c>
      <c r="E44" s="75">
        <f>Poor!E44</f>
        <v>1</v>
      </c>
      <c r="F44" s="75">
        <f>Poor!F44</f>
        <v>1.1000000000000001</v>
      </c>
      <c r="G44" s="22">
        <f t="shared" si="25"/>
        <v>1.1200000000000001</v>
      </c>
      <c r="H44" s="24">
        <f t="shared" si="18"/>
        <v>1.1000000000000001</v>
      </c>
      <c r="I44" s="39">
        <f t="shared" si="19"/>
        <v>0</v>
      </c>
      <c r="J44" s="38">
        <f t="shared" si="20"/>
        <v>0</v>
      </c>
      <c r="K44" s="40">
        <f t="shared" si="21"/>
        <v>0</v>
      </c>
      <c r="L44" s="22">
        <f t="shared" si="22"/>
        <v>0</v>
      </c>
      <c r="M44" s="24">
        <f t="shared" si="23"/>
        <v>0</v>
      </c>
      <c r="N44" s="2"/>
      <c r="O44" s="2"/>
      <c r="P44" s="2"/>
      <c r="Q44" s="2"/>
      <c r="R44" s="2"/>
      <c r="S44" s="2"/>
      <c r="T44" s="2"/>
      <c r="U44" s="56"/>
      <c r="V44" s="56"/>
      <c r="W44" s="109"/>
      <c r="X44" s="117"/>
      <c r="Y44" s="109"/>
      <c r="Z44" s="155">
        <f>Poor!Z44</f>
        <v>0.25</v>
      </c>
      <c r="AA44" s="146">
        <f t="shared" si="30"/>
        <v>0</v>
      </c>
      <c r="AB44" s="155">
        <f>Poor!AB44</f>
        <v>0.25</v>
      </c>
      <c r="AC44" s="146">
        <f t="shared" si="31"/>
        <v>0</v>
      </c>
      <c r="AD44" s="155">
        <f>Poor!AD44</f>
        <v>0.25</v>
      </c>
      <c r="AE44" s="146">
        <f t="shared" si="32"/>
        <v>0</v>
      </c>
      <c r="AF44" s="121">
        <f t="shared" si="24"/>
        <v>0.25</v>
      </c>
      <c r="AG44" s="146">
        <f t="shared" si="26"/>
        <v>0</v>
      </c>
      <c r="AH44" s="122">
        <f t="shared" si="27"/>
        <v>1</v>
      </c>
      <c r="AI44" s="111">
        <f t="shared" si="27"/>
        <v>0</v>
      </c>
      <c r="AJ44" s="147">
        <f t="shared" si="28"/>
        <v>0</v>
      </c>
      <c r="AK44" s="146">
        <f t="shared" si="2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5" ht="14" customHeight="1">
      <c r="A45" s="74" t="str">
        <f>IF(Poor!A45=0,"",Poor!A45)</f>
        <v>Formal Employment (conservancies, etc.)</v>
      </c>
      <c r="B45" s="103">
        <f>IF([1]Summ!$H1080="",0,[1]Summ!$H1080)</f>
        <v>36000</v>
      </c>
      <c r="C45" s="103">
        <f>IF([1]Summ!$H1080="",0,[1]Summ!$H1080)</f>
        <v>36000</v>
      </c>
      <c r="D45" s="38">
        <f t="shared" si="17"/>
        <v>72000</v>
      </c>
      <c r="E45" s="75">
        <f>Poor!E45</f>
        <v>1</v>
      </c>
      <c r="F45" s="75">
        <f>Poor!F45</f>
        <v>1.07</v>
      </c>
      <c r="G45" s="22">
        <f t="shared" si="25"/>
        <v>1.1200000000000001</v>
      </c>
      <c r="H45" s="24">
        <f t="shared" si="18"/>
        <v>1.07</v>
      </c>
      <c r="I45" s="39">
        <f t="shared" si="19"/>
        <v>77040</v>
      </c>
      <c r="J45" s="38">
        <f t="shared" si="20"/>
        <v>38101.749938238187</v>
      </c>
      <c r="K45" s="40">
        <f t="shared" si="21"/>
        <v>0.40673864682171068</v>
      </c>
      <c r="L45" s="22">
        <f t="shared" si="22"/>
        <v>0.43521035209923048</v>
      </c>
      <c r="M45" s="24">
        <f t="shared" si="23"/>
        <v>0.43048483920606107</v>
      </c>
      <c r="N45" s="2"/>
      <c r="O45" s="2"/>
      <c r="P45" s="2"/>
      <c r="Q45" s="2"/>
      <c r="R45" s="2"/>
      <c r="S45" s="2"/>
      <c r="T45" s="2"/>
      <c r="U45" s="56"/>
      <c r="V45" s="56"/>
      <c r="W45" s="109"/>
      <c r="X45" s="117"/>
      <c r="Y45" s="109"/>
      <c r="Z45" s="155">
        <f>Poor!Z45</f>
        <v>0.25</v>
      </c>
      <c r="AA45" s="146">
        <f t="shared" si="30"/>
        <v>9525.4374845595466</v>
      </c>
      <c r="AB45" s="155">
        <f>Poor!AB45</f>
        <v>0.25</v>
      </c>
      <c r="AC45" s="146">
        <f t="shared" si="31"/>
        <v>9525.4374845595466</v>
      </c>
      <c r="AD45" s="155">
        <f>Poor!AD45</f>
        <v>0.25</v>
      </c>
      <c r="AE45" s="146">
        <f t="shared" si="32"/>
        <v>9525.4374845595466</v>
      </c>
      <c r="AF45" s="121">
        <f t="shared" si="24"/>
        <v>0.25</v>
      </c>
      <c r="AG45" s="146">
        <f t="shared" si="26"/>
        <v>9525.4374845595466</v>
      </c>
      <c r="AH45" s="122">
        <f t="shared" si="27"/>
        <v>1</v>
      </c>
      <c r="AI45" s="111">
        <f t="shared" si="27"/>
        <v>38101.749938238187</v>
      </c>
      <c r="AJ45" s="147">
        <f t="shared" si="28"/>
        <v>19050.874969119093</v>
      </c>
      <c r="AK45" s="146">
        <f t="shared" si="29"/>
        <v>19050.874969119093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5" ht="14" customHeight="1">
      <c r="A46" s="74" t="str">
        <f>IF(Poor!A46=0,"",Poor!A46)</f>
        <v>Self-employment -- see Data2</v>
      </c>
      <c r="B46" s="103">
        <f>IF([1]Summ!$H1081="",0,[1]Summ!$H1081)</f>
        <v>3600</v>
      </c>
      <c r="C46" s="103">
        <f>IF([1]Summ!$H1081="",0,[1]Summ!$H1081)</f>
        <v>3600</v>
      </c>
      <c r="D46" s="38">
        <f t="shared" si="17"/>
        <v>7200</v>
      </c>
      <c r="E46" s="75">
        <f>Poor!E46</f>
        <v>1</v>
      </c>
      <c r="F46" s="75">
        <f>Poor!F46</f>
        <v>1.1000000000000001</v>
      </c>
      <c r="G46" s="22">
        <f t="shared" si="25"/>
        <v>1.1200000000000001</v>
      </c>
      <c r="H46" s="24">
        <f t="shared" si="18"/>
        <v>1.1000000000000001</v>
      </c>
      <c r="I46" s="39">
        <f t="shared" si="19"/>
        <v>7920.0000000000009</v>
      </c>
      <c r="J46" s="38">
        <f t="shared" si="20"/>
        <v>3917.002330099253</v>
      </c>
      <c r="K46" s="40">
        <f t="shared" si="21"/>
        <v>4.0673864682171067E-2</v>
      </c>
      <c r="L46" s="22">
        <f t="shared" si="22"/>
        <v>4.4741251150388177E-2</v>
      </c>
      <c r="M46" s="24">
        <f t="shared" si="23"/>
        <v>4.4255450759501609E-2</v>
      </c>
      <c r="N46" s="2"/>
      <c r="O46" s="2"/>
      <c r="P46" s="2"/>
      <c r="Q46" s="2"/>
      <c r="R46" s="2"/>
      <c r="S46" s="2"/>
      <c r="T46" s="2"/>
      <c r="U46" s="56"/>
      <c r="V46" s="56"/>
      <c r="W46" s="109"/>
      <c r="X46" s="117"/>
      <c r="Y46" s="109"/>
      <c r="Z46" s="155">
        <f>Poor!Z46</f>
        <v>0.25</v>
      </c>
      <c r="AA46" s="146">
        <f t="shared" si="30"/>
        <v>979.25058252481324</v>
      </c>
      <c r="AB46" s="155">
        <f>Poor!AB46</f>
        <v>0.25</v>
      </c>
      <c r="AC46" s="146">
        <f t="shared" si="31"/>
        <v>979.25058252481324</v>
      </c>
      <c r="AD46" s="155">
        <f>Poor!AD46</f>
        <v>0.25</v>
      </c>
      <c r="AE46" s="146">
        <f t="shared" si="32"/>
        <v>979.25058252481324</v>
      </c>
      <c r="AF46" s="121">
        <f t="shared" si="24"/>
        <v>0.25</v>
      </c>
      <c r="AG46" s="146">
        <f t="shared" si="26"/>
        <v>979.25058252481324</v>
      </c>
      <c r="AH46" s="122">
        <f t="shared" ref="AH46:AI51" si="33">SUM(Z46,AB46,AD46,AF46)</f>
        <v>1</v>
      </c>
      <c r="AI46" s="111">
        <f t="shared" si="33"/>
        <v>3917.002330099253</v>
      </c>
      <c r="AJ46" s="147">
        <f t="shared" si="28"/>
        <v>1958.5011650496265</v>
      </c>
      <c r="AK46" s="146">
        <f t="shared" si="29"/>
        <v>1958.5011650496265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5" ht="14" customHeight="1">
      <c r="A47" s="74" t="str">
        <f>IF(Poor!A47=0,"",Poor!A47)</f>
        <v>Small business -- see Data2</v>
      </c>
      <c r="B47" s="103">
        <f>IF([1]Summ!$H1082="",0,[1]Summ!$H1082)</f>
        <v>7200</v>
      </c>
      <c r="C47" s="103">
        <f>IF([1]Summ!$H1082="",0,[1]Summ!$H1082)</f>
        <v>7200</v>
      </c>
      <c r="D47" s="38">
        <f t="shared" si="17"/>
        <v>14400</v>
      </c>
      <c r="E47" s="75">
        <f>Poor!E47</f>
        <v>1</v>
      </c>
      <c r="F47" s="75">
        <f>Poor!F47</f>
        <v>1.05</v>
      </c>
      <c r="G47" s="22">
        <f t="shared" si="25"/>
        <v>1.1200000000000001</v>
      </c>
      <c r="H47" s="24">
        <f t="shared" si="18"/>
        <v>1.05</v>
      </c>
      <c r="I47" s="39">
        <f t="shared" si="19"/>
        <v>15120</v>
      </c>
      <c r="J47" s="38">
        <f t="shared" si="20"/>
        <v>7477.9135392803928</v>
      </c>
      <c r="K47" s="40">
        <f t="shared" si="21"/>
        <v>8.1347729364342133E-2</v>
      </c>
      <c r="L47" s="22">
        <f t="shared" si="22"/>
        <v>8.5415115832559244E-2</v>
      </c>
      <c r="M47" s="24">
        <f t="shared" si="23"/>
        <v>8.4487678722684895E-2</v>
      </c>
      <c r="N47" s="2"/>
      <c r="O47" s="2"/>
      <c r="P47" s="2"/>
      <c r="Q47" s="2"/>
      <c r="R47" s="2"/>
      <c r="S47" s="2"/>
      <c r="T47" s="2"/>
      <c r="U47" s="56"/>
      <c r="V47" s="56"/>
      <c r="W47" s="109"/>
      <c r="X47" s="117"/>
      <c r="Y47" s="109"/>
      <c r="Z47" s="155">
        <f>Poor!Z47</f>
        <v>0.25</v>
      </c>
      <c r="AA47" s="146">
        <f t="shared" si="30"/>
        <v>1869.4783848200982</v>
      </c>
      <c r="AB47" s="155">
        <f>Poor!AB47</f>
        <v>0.25</v>
      </c>
      <c r="AC47" s="146">
        <f t="shared" si="31"/>
        <v>1869.4783848200982</v>
      </c>
      <c r="AD47" s="155">
        <f>Poor!AD47</f>
        <v>0.25</v>
      </c>
      <c r="AE47" s="146">
        <f t="shared" si="32"/>
        <v>1869.4783848200982</v>
      </c>
      <c r="AF47" s="121">
        <f t="shared" si="24"/>
        <v>0.25</v>
      </c>
      <c r="AG47" s="146">
        <f t="shared" si="26"/>
        <v>1869.4783848200982</v>
      </c>
      <c r="AH47" s="122">
        <f t="shared" si="33"/>
        <v>1</v>
      </c>
      <c r="AI47" s="111">
        <f t="shared" si="33"/>
        <v>7477.9135392803928</v>
      </c>
      <c r="AJ47" s="147">
        <f t="shared" si="28"/>
        <v>3738.9567696401964</v>
      </c>
      <c r="AK47" s="146">
        <f t="shared" si="29"/>
        <v>3738.9567696401964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5" ht="14" customHeight="1">
      <c r="A48" s="74" t="str">
        <f>IF(Poor!A48=0,"",Poor!A48)</f>
        <v>Social Cash Transfers -- see Data2</v>
      </c>
      <c r="B48" s="103">
        <f>IF([1]Summ!$H1083="",0,[1]Summ!$H1083)</f>
        <v>8078.9240506329124</v>
      </c>
      <c r="C48" s="103">
        <f>IF([1]Summ!$H1083="",0,[1]Summ!$H1083)</f>
        <v>8078.9240506329124</v>
      </c>
      <c r="D48" s="38">
        <f t="shared" si="17"/>
        <v>16157.848101265825</v>
      </c>
      <c r="E48" s="75">
        <f>Poor!E48</f>
        <v>1</v>
      </c>
      <c r="F48" s="75">
        <f>Poor!F48</f>
        <v>1.1100000000000001</v>
      </c>
      <c r="G48" s="22">
        <f t="shared" si="25"/>
        <v>1.1200000000000001</v>
      </c>
      <c r="H48" s="24">
        <f t="shared" si="18"/>
        <v>1.1100000000000001</v>
      </c>
      <c r="I48" s="39">
        <f t="shared" si="19"/>
        <v>17935.211392405068</v>
      </c>
      <c r="J48" s="38">
        <f t="shared" si="20"/>
        <v>8870.2354564233992</v>
      </c>
      <c r="K48" s="40">
        <f t="shared" si="21"/>
        <v>9.1278073225827899E-2</v>
      </c>
      <c r="L48" s="22">
        <f t="shared" si="22"/>
        <v>0.10131866128066898</v>
      </c>
      <c r="M48" s="24">
        <f t="shared" si="23"/>
        <v>0.10021854351487813</v>
      </c>
      <c r="N48" s="2"/>
      <c r="O48" s="2"/>
      <c r="P48" s="2"/>
      <c r="Q48" s="2"/>
      <c r="R48" s="2"/>
      <c r="S48" s="2"/>
      <c r="T48" s="2"/>
      <c r="U48" s="56"/>
      <c r="V48" s="56"/>
      <c r="W48" s="109"/>
      <c r="X48" s="117"/>
      <c r="Y48" s="109"/>
      <c r="Z48" s="155">
        <f>Poor!Z48</f>
        <v>0.25</v>
      </c>
      <c r="AA48" s="146">
        <f t="shared" si="30"/>
        <v>2217.5588641058498</v>
      </c>
      <c r="AB48" s="155">
        <f>Poor!AB48</f>
        <v>0.25</v>
      </c>
      <c r="AC48" s="146">
        <f t="shared" si="31"/>
        <v>2217.5588641058498</v>
      </c>
      <c r="AD48" s="155">
        <f>Poor!AD48</f>
        <v>0.25</v>
      </c>
      <c r="AE48" s="146">
        <f t="shared" si="32"/>
        <v>2217.5588641058498</v>
      </c>
      <c r="AF48" s="121">
        <f t="shared" si="24"/>
        <v>0.25</v>
      </c>
      <c r="AG48" s="146">
        <f t="shared" si="26"/>
        <v>2217.5588641058498</v>
      </c>
      <c r="AH48" s="122">
        <f t="shared" si="33"/>
        <v>1</v>
      </c>
      <c r="AI48" s="111">
        <f t="shared" si="33"/>
        <v>8870.2354564233992</v>
      </c>
      <c r="AJ48" s="147">
        <f t="shared" si="28"/>
        <v>4435.1177282116996</v>
      </c>
      <c r="AK48" s="146">
        <f t="shared" si="29"/>
        <v>4435.1177282116996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Public works -- see Data2</v>
      </c>
      <c r="B49" s="103">
        <f>IF([1]Summ!$H1084="",0,[1]Summ!$H1084)</f>
        <v>0</v>
      </c>
      <c r="C49" s="103">
        <f>IF([1]Summ!$H1084="",0,[1]Summ!$H1084)</f>
        <v>0</v>
      </c>
      <c r="D49" s="38">
        <f t="shared" si="17"/>
        <v>0</v>
      </c>
      <c r="E49" s="75">
        <f>Poor!E49</f>
        <v>1</v>
      </c>
      <c r="F49" s="75">
        <f>Poor!F49</f>
        <v>1.07</v>
      </c>
      <c r="G49" s="22">
        <f t="shared" si="25"/>
        <v>1.1200000000000001</v>
      </c>
      <c r="H49" s="24">
        <f t="shared" si="18"/>
        <v>1.07</v>
      </c>
      <c r="I49" s="39">
        <f t="shared" si="19"/>
        <v>0</v>
      </c>
      <c r="J49" s="38">
        <f t="shared" si="20"/>
        <v>0</v>
      </c>
      <c r="K49" s="40">
        <f t="shared" si="21"/>
        <v>0</v>
      </c>
      <c r="L49" s="22">
        <f t="shared" si="22"/>
        <v>0</v>
      </c>
      <c r="M49" s="24">
        <f t="shared" si="23"/>
        <v>0</v>
      </c>
      <c r="N49" s="2"/>
      <c r="O49" s="2"/>
      <c r="P49" s="2"/>
      <c r="Q49" s="2"/>
      <c r="R49" s="2"/>
      <c r="S49" s="2"/>
      <c r="T49" s="2"/>
      <c r="U49" s="56"/>
      <c r="V49" s="56"/>
      <c r="W49" s="109"/>
      <c r="X49" s="117"/>
      <c r="Y49" s="109"/>
      <c r="Z49" s="155">
        <f>Poor!Z49</f>
        <v>0.25</v>
      </c>
      <c r="AA49" s="146">
        <f t="shared" si="30"/>
        <v>0</v>
      </c>
      <c r="AB49" s="155">
        <f>Poor!AB49</f>
        <v>0.25</v>
      </c>
      <c r="AC49" s="146">
        <f t="shared" si="31"/>
        <v>0</v>
      </c>
      <c r="AD49" s="155">
        <f>Poor!AD49</f>
        <v>0.25</v>
      </c>
      <c r="AE49" s="146">
        <f t="shared" si="32"/>
        <v>0</v>
      </c>
      <c r="AF49" s="121">
        <f t="shared" si="24"/>
        <v>0.25</v>
      </c>
      <c r="AG49" s="146">
        <f t="shared" si="26"/>
        <v>0</v>
      </c>
      <c r="AH49" s="122">
        <f t="shared" si="33"/>
        <v>1</v>
      </c>
      <c r="AI49" s="111">
        <f t="shared" si="33"/>
        <v>0</v>
      </c>
      <c r="AJ49" s="147">
        <f t="shared" si="28"/>
        <v>0</v>
      </c>
      <c r="AK49" s="146">
        <f t="shared" si="2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income: e.g. Credit (cotton loans)</v>
      </c>
      <c r="B50" s="103">
        <f>IF([1]Summ!$H1085="",0,[1]Summ!$H1085)</f>
        <v>0</v>
      </c>
      <c r="C50" s="103">
        <f>IF([1]Summ!$H1085="",0,[1]Summ!$H1085)</f>
        <v>0</v>
      </c>
      <c r="D50" s="38">
        <f t="shared" si="17"/>
        <v>0</v>
      </c>
      <c r="E50" s="75">
        <f>Poor!E50</f>
        <v>1</v>
      </c>
      <c r="F50" s="75">
        <f>Poor!F50</f>
        <v>1</v>
      </c>
      <c r="G50" s="22">
        <f t="shared" si="25"/>
        <v>1.1200000000000001</v>
      </c>
      <c r="H50" s="24">
        <f t="shared" si="18"/>
        <v>1</v>
      </c>
      <c r="I50" s="39">
        <f t="shared" si="19"/>
        <v>0</v>
      </c>
      <c r="J50" s="38">
        <f t="shared" si="20"/>
        <v>0</v>
      </c>
      <c r="K50" s="40">
        <f t="shared" si="21"/>
        <v>0</v>
      </c>
      <c r="L50" s="22">
        <f t="shared" si="22"/>
        <v>0</v>
      </c>
      <c r="M50" s="24">
        <f t="shared" si="23"/>
        <v>0</v>
      </c>
      <c r="N50" s="2"/>
      <c r="O50" s="2"/>
      <c r="P50" s="2"/>
      <c r="Q50" s="2"/>
      <c r="R50" s="2"/>
      <c r="S50" s="2"/>
      <c r="T50" s="2"/>
      <c r="U50" s="56"/>
      <c r="V50" s="56"/>
      <c r="W50" s="109"/>
      <c r="X50" s="117"/>
      <c r="Y50" s="109"/>
      <c r="Z50" s="155">
        <f>Poor!Z50</f>
        <v>0.25</v>
      </c>
      <c r="AA50" s="146">
        <f t="shared" si="30"/>
        <v>0</v>
      </c>
      <c r="AB50" s="155">
        <f>Poor!AB50</f>
        <v>0.25</v>
      </c>
      <c r="AC50" s="146">
        <f t="shared" si="31"/>
        <v>0</v>
      </c>
      <c r="AD50" s="155">
        <f>Poor!AD50</f>
        <v>0.25</v>
      </c>
      <c r="AE50" s="146">
        <f t="shared" si="32"/>
        <v>0</v>
      </c>
      <c r="AF50" s="121">
        <f t="shared" si="24"/>
        <v>0.25</v>
      </c>
      <c r="AG50" s="146">
        <f t="shared" si="26"/>
        <v>0</v>
      </c>
      <c r="AH50" s="122">
        <f t="shared" si="33"/>
        <v>1</v>
      </c>
      <c r="AI50" s="111">
        <f t="shared" si="33"/>
        <v>0</v>
      </c>
      <c r="AJ50" s="147">
        <f t="shared" si="28"/>
        <v>0</v>
      </c>
      <c r="AK50" s="146">
        <f t="shared" si="2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Remittances: no. times per year</v>
      </c>
      <c r="B51" s="103">
        <f>IF([1]Summ!$H1086="",0,[1]Summ!$H1086)</f>
        <v>24000</v>
      </c>
      <c r="C51" s="103">
        <f>IF([1]Summ!$H1086="",0,[1]Summ!$H1086)</f>
        <v>24000</v>
      </c>
      <c r="D51" s="38">
        <f t="shared" si="17"/>
        <v>48000</v>
      </c>
      <c r="E51" s="75">
        <f>Poor!E51</f>
        <v>1</v>
      </c>
      <c r="F51" s="75">
        <f>Poor!F51</f>
        <v>1.05</v>
      </c>
      <c r="G51" s="22">
        <f t="shared" si="25"/>
        <v>1.1200000000000001</v>
      </c>
      <c r="H51" s="24">
        <f t="shared" si="18"/>
        <v>1.05</v>
      </c>
      <c r="I51" s="39">
        <f t="shared" si="19"/>
        <v>50400</v>
      </c>
      <c r="J51" s="38">
        <f t="shared" si="20"/>
        <v>24926.378464267971</v>
      </c>
      <c r="K51" s="40">
        <f t="shared" si="21"/>
        <v>0.27115909788114045</v>
      </c>
      <c r="L51" s="22">
        <f t="shared" si="22"/>
        <v>0.28471705277519749</v>
      </c>
      <c r="M51" s="24">
        <f t="shared" si="23"/>
        <v>0.28162559574228296</v>
      </c>
      <c r="N51" s="2"/>
      <c r="O51" s="2"/>
      <c r="P51" s="2"/>
      <c r="Q51" s="2"/>
      <c r="R51" s="2"/>
      <c r="S51" s="2"/>
      <c r="T51" s="2"/>
      <c r="U51" s="56"/>
      <c r="V51" s="56"/>
      <c r="W51" s="109"/>
      <c r="X51" s="117"/>
      <c r="Y51" s="109"/>
      <c r="Z51" s="155">
        <f>Poor!Z51</f>
        <v>0.25</v>
      </c>
      <c r="AA51" s="148">
        <f t="shared" si="30"/>
        <v>6231.5946160669928</v>
      </c>
      <c r="AB51" s="155">
        <f>Poor!AB51</f>
        <v>0.25</v>
      </c>
      <c r="AC51" s="148">
        <f t="shared" si="31"/>
        <v>6231.5946160669928</v>
      </c>
      <c r="AD51" s="155">
        <f>Poor!AD51</f>
        <v>0.25</v>
      </c>
      <c r="AE51" s="148">
        <f t="shared" si="32"/>
        <v>6231.5946160669928</v>
      </c>
      <c r="AF51" s="149">
        <f t="shared" si="24"/>
        <v>0.25</v>
      </c>
      <c r="AG51" s="148">
        <f t="shared" si="26"/>
        <v>6231.5946160669928</v>
      </c>
      <c r="AH51" s="122">
        <f t="shared" si="33"/>
        <v>1</v>
      </c>
      <c r="AI51" s="111">
        <f t="shared" si="33"/>
        <v>24926.378464267971</v>
      </c>
      <c r="AJ51" s="150">
        <f t="shared" si="28"/>
        <v>12463.189232133986</v>
      </c>
      <c r="AK51" s="148">
        <f t="shared" si="29"/>
        <v>12463.189232133986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39" t="s">
        <v>33</v>
      </c>
      <c r="B52" s="39">
        <f>SUM(B29:B51)</f>
        <v>88508.924050632922</v>
      </c>
      <c r="C52" s="39">
        <f>SUM(C29:C51)</f>
        <v>88508.924050632922</v>
      </c>
      <c r="D52" s="42">
        <f>SUM(D29:D51)</f>
        <v>177017.84810126584</v>
      </c>
      <c r="E52" s="32"/>
      <c r="F52" s="32"/>
      <c r="G52" s="32"/>
      <c r="H52" s="31"/>
      <c r="I52" s="39">
        <f>SUM(I29:I51)</f>
        <v>189169.98339240506</v>
      </c>
      <c r="J52" s="39">
        <f>SUM(J29:J51)</f>
        <v>93557.988097586815</v>
      </c>
      <c r="K52" s="40">
        <f>SUM(K29:K51)</f>
        <v>0.99999999999999978</v>
      </c>
      <c r="L52" s="22">
        <f>SUM(L29:L51)</f>
        <v>1.06864920922656</v>
      </c>
      <c r="M52" s="24">
        <f>SUM(M29:M51)</f>
        <v>1.0570458188381717</v>
      </c>
      <c r="N52" s="2"/>
      <c r="O52" s="2"/>
      <c r="P52" s="2"/>
      <c r="Q52" s="2"/>
      <c r="R52" s="2"/>
      <c r="S52" s="2"/>
      <c r="T52" s="2"/>
      <c r="U52" s="56"/>
      <c r="V52" s="56"/>
      <c r="W52" s="109"/>
      <c r="X52" s="151"/>
      <c r="Y52" s="109"/>
      <c r="Z52" s="136"/>
      <c r="AA52" s="152">
        <f>SUM(AA29:AA51)</f>
        <v>22489.120414404202</v>
      </c>
      <c r="AB52" s="136"/>
      <c r="AC52" s="152">
        <f>SUM(AC29:AC51)</f>
        <v>21754.208110851472</v>
      </c>
      <c r="AD52" s="136"/>
      <c r="AE52" s="152">
        <f>SUM(AE29:AE51)</f>
        <v>21097.407718986986</v>
      </c>
      <c r="AF52" s="136"/>
      <c r="AG52" s="152">
        <f>SUM(AG29:AG51)</f>
        <v>28217.251853344158</v>
      </c>
      <c r="AH52" s="136"/>
      <c r="AI52" s="152">
        <f>SUM(AI29:AI51)</f>
        <v>93557.988097586815</v>
      </c>
      <c r="AJ52" s="152">
        <f>SUM(AJ29:AJ51)</f>
        <v>44243.328525255674</v>
      </c>
      <c r="AK52" s="152">
        <f>SUM(AK29:AK51)</f>
        <v>49314.659572331148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3.5" customHeight="1">
      <c r="A53" s="78"/>
      <c r="B53" s="78"/>
      <c r="C53" s="78"/>
      <c r="D53" s="44"/>
      <c r="E53" s="14"/>
      <c r="F53" s="14"/>
      <c r="G53" s="14"/>
      <c r="H53" s="44"/>
      <c r="I53" s="14"/>
      <c r="J53" s="44"/>
      <c r="K53" s="45"/>
      <c r="L53" s="11"/>
      <c r="M53" s="10"/>
      <c r="N53" s="2"/>
      <c r="O53" s="2"/>
      <c r="P53" s="2"/>
      <c r="Q53" s="2"/>
      <c r="R53" s="2"/>
      <c r="S53" s="2"/>
      <c r="T53" s="2"/>
      <c r="U53" s="56"/>
      <c r="V53" s="56"/>
      <c r="W53" s="109"/>
      <c r="X53" s="117"/>
      <c r="Y53" s="109"/>
      <c r="Z53" s="142"/>
      <c r="AA53" s="153"/>
      <c r="AB53" s="142"/>
      <c r="AC53" s="153"/>
      <c r="AD53" s="142"/>
      <c r="AE53" s="153"/>
      <c r="AF53" s="142"/>
      <c r="AG53" s="153"/>
      <c r="AH53" s="142"/>
      <c r="AI53" s="153"/>
      <c r="AJ53" s="142"/>
      <c r="AK53" s="143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5.75" customHeight="1">
      <c r="A54" s="73" t="s">
        <v>50</v>
      </c>
      <c r="B54" s="39"/>
      <c r="C54" s="39"/>
      <c r="D54" s="38"/>
      <c r="E54" s="32"/>
      <c r="F54" s="32"/>
      <c r="G54" s="32"/>
      <c r="H54" s="31"/>
      <c r="I54" s="47"/>
      <c r="J54" s="48"/>
      <c r="K54" s="34" t="s">
        <v>35</v>
      </c>
      <c r="L54" s="2"/>
      <c r="M54" s="31"/>
      <c r="N54" s="2"/>
      <c r="O54" s="2"/>
      <c r="P54" s="2"/>
      <c r="Q54" s="2"/>
      <c r="R54" s="2"/>
      <c r="S54" s="2"/>
      <c r="T54" s="2"/>
      <c r="U54" s="56"/>
      <c r="V54" s="56"/>
      <c r="W54" s="109"/>
      <c r="X54" s="117"/>
      <c r="Y54" s="109"/>
      <c r="Z54" s="144"/>
      <c r="AA54" s="146"/>
      <c r="AB54" s="144"/>
      <c r="AC54" s="146"/>
      <c r="AD54" s="144"/>
      <c r="AE54" s="146"/>
      <c r="AF54" s="144"/>
      <c r="AG54" s="146"/>
      <c r="AH54" s="144"/>
      <c r="AI54" s="146"/>
      <c r="AJ54" s="144"/>
      <c r="AK54" s="145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9"/>
      <c r="B55" s="80" t="s">
        <v>7</v>
      </c>
      <c r="C55" s="39"/>
      <c r="D55" s="50"/>
      <c r="E55" s="19" t="s">
        <v>10</v>
      </c>
      <c r="F55" s="2" t="s">
        <v>29</v>
      </c>
      <c r="G55" s="2"/>
      <c r="H55" s="16" t="s">
        <v>12</v>
      </c>
      <c r="I55" s="19" t="s">
        <v>13</v>
      </c>
      <c r="J55" s="16" t="s">
        <v>14</v>
      </c>
      <c r="K55" s="37" t="s">
        <v>7</v>
      </c>
      <c r="L55" s="19" t="s">
        <v>15</v>
      </c>
      <c r="M55" s="16" t="s">
        <v>14</v>
      </c>
      <c r="N55" s="2"/>
      <c r="O55" s="2"/>
      <c r="P55" s="2"/>
      <c r="Q55" s="2"/>
      <c r="R55" s="2"/>
      <c r="S55" s="2"/>
      <c r="T55" s="2"/>
      <c r="U55" s="56"/>
      <c r="V55" s="56"/>
      <c r="W55" s="111"/>
      <c r="X55" s="117"/>
      <c r="Y55" s="109"/>
      <c r="Z55" s="144"/>
      <c r="AA55" s="146"/>
      <c r="AB55" s="144"/>
      <c r="AC55" s="146"/>
      <c r="AD55" s="144"/>
      <c r="AE55" s="146"/>
      <c r="AF55" s="144"/>
      <c r="AG55" s="146"/>
      <c r="AH55" s="144"/>
      <c r="AI55" s="146"/>
      <c r="AJ55" s="144"/>
      <c r="AK55" s="145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39" t="s">
        <v>31</v>
      </c>
      <c r="B56" s="80" t="s">
        <v>36</v>
      </c>
      <c r="C56" s="39"/>
      <c r="D56" s="38"/>
      <c r="E56" s="19" t="s">
        <v>18</v>
      </c>
      <c r="F56" s="2" t="s">
        <v>32</v>
      </c>
      <c r="G56" s="2"/>
      <c r="H56" s="16" t="s">
        <v>18</v>
      </c>
      <c r="I56" s="19" t="s">
        <v>36</v>
      </c>
      <c r="J56" s="16" t="s">
        <v>36</v>
      </c>
      <c r="K56" s="37" t="s">
        <v>36</v>
      </c>
      <c r="L56" s="19" t="s">
        <v>20</v>
      </c>
      <c r="M56" s="16" t="s">
        <v>36</v>
      </c>
      <c r="N56" s="2"/>
      <c r="O56" s="2"/>
      <c r="P56" s="2"/>
      <c r="Q56" s="2"/>
      <c r="R56" s="2"/>
      <c r="S56" s="2"/>
      <c r="T56" s="2"/>
      <c r="U56" s="56"/>
      <c r="V56" s="56"/>
      <c r="W56" s="109"/>
      <c r="X56" s="117"/>
      <c r="Y56" s="109"/>
      <c r="Z56" s="144"/>
      <c r="AA56" s="146"/>
      <c r="AB56" s="144"/>
      <c r="AC56" s="146"/>
      <c r="AD56" s="144"/>
      <c r="AE56" s="146"/>
      <c r="AF56" s="144"/>
      <c r="AG56" s="146"/>
      <c r="AH56" s="144"/>
      <c r="AI56" s="146"/>
      <c r="AJ56" s="144"/>
      <c r="AK56" s="145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109" t="s">
        <v>135</v>
      </c>
      <c r="B57" s="103">
        <f>[1]Summ!$H1031</f>
        <v>13477.244998392132</v>
      </c>
      <c r="C57" s="39"/>
      <c r="D57" s="38"/>
      <c r="E57" s="75">
        <f>Poor!E57</f>
        <v>1</v>
      </c>
      <c r="F57" s="75">
        <f>Poor!F57</f>
        <v>1.1399999999999999</v>
      </c>
      <c r="G57" s="22"/>
      <c r="H57" s="24">
        <f>(E57*F57)</f>
        <v>1.1399999999999999</v>
      </c>
      <c r="I57" s="39">
        <f>I106*I$70</f>
        <v>15364.059298167027</v>
      </c>
      <c r="J57" s="51">
        <f t="shared" ref="J57:J58" si="34">J106*I$70</f>
        <v>15364.059298167027</v>
      </c>
      <c r="K57" s="40">
        <f>B57/B$63</f>
        <v>0.15226989982029679</v>
      </c>
      <c r="L57" s="22">
        <f>(L106*G$29*F$9/F$7)/B$112</f>
        <v>0.17358768579513836</v>
      </c>
      <c r="M57" s="24">
        <f>J57/B$63</f>
        <v>0.17358768579513831</v>
      </c>
      <c r="N57" s="2"/>
      <c r="O57" s="2"/>
      <c r="P57" s="2"/>
      <c r="Q57" s="2"/>
      <c r="R57" s="2"/>
      <c r="S57" s="2"/>
      <c r="T57" s="2"/>
      <c r="U57" s="56"/>
      <c r="V57" s="56"/>
      <c r="W57" s="109"/>
      <c r="X57" s="117"/>
      <c r="Y57" s="109"/>
      <c r="Z57" s="155">
        <f>Poor!Z57</f>
        <v>0.25</v>
      </c>
      <c r="AA57" s="146">
        <f>$J57*Z57</f>
        <v>3841.0148245417568</v>
      </c>
      <c r="AB57" s="155">
        <f>Poor!AB57</f>
        <v>0.25</v>
      </c>
      <c r="AC57" s="146">
        <f>$J57*AB57</f>
        <v>3841.0148245417568</v>
      </c>
      <c r="AD57" s="155">
        <f>Poor!AD57</f>
        <v>0.25</v>
      </c>
      <c r="AE57" s="146">
        <f>$J57*AD57</f>
        <v>3841.0148245417568</v>
      </c>
      <c r="AF57" s="155">
        <f>Poor!AF57</f>
        <v>0.25</v>
      </c>
      <c r="AG57" s="146">
        <f>$J57*AF57</f>
        <v>3841.0148245417568</v>
      </c>
      <c r="AH57" s="154">
        <f>SUM(Z57,AB57,AD57,AF57)</f>
        <v>1</v>
      </c>
      <c r="AI57" s="146">
        <f>SUM(AA57,AC57,AE57,AG57)</f>
        <v>15364.059298167027</v>
      </c>
      <c r="AJ57" s="147">
        <f>(AA57+AC57)</f>
        <v>7682.0296490835135</v>
      </c>
      <c r="AK57" s="146">
        <f>(AE57+AG57)</f>
        <v>7682.0296490835135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3.5" customHeight="1">
      <c r="A58" s="109" t="s">
        <v>137</v>
      </c>
      <c r="B58" s="103">
        <f>[1]Summ!$H1032</f>
        <v>11684</v>
      </c>
      <c r="C58" s="39"/>
      <c r="D58" s="38"/>
      <c r="E58" s="75">
        <f>Poor!E58</f>
        <v>1</v>
      </c>
      <c r="F58" s="75">
        <f>Poor!F58</f>
        <v>1.1100000000000001</v>
      </c>
      <c r="G58" s="22"/>
      <c r="H58" s="24">
        <f>(E58*F58)</f>
        <v>1.1100000000000001</v>
      </c>
      <c r="I58" s="39">
        <f>I107*I$70</f>
        <v>12969.240000000003</v>
      </c>
      <c r="J58" s="51">
        <f t="shared" si="34"/>
        <v>12969.240000000003</v>
      </c>
      <c r="K58" s="40">
        <f>B58/B$63</f>
        <v>0.13200928748513521</v>
      </c>
      <c r="L58" s="22">
        <f>(L107*G$29*F$9/F$7)/B$112</f>
        <v>0.14653030910850015</v>
      </c>
      <c r="M58" s="24">
        <f>J58/B$63</f>
        <v>0.14653030910850012</v>
      </c>
      <c r="O58" s="2"/>
      <c r="P58" s="2"/>
      <c r="Q58" s="2"/>
      <c r="R58" s="2"/>
      <c r="S58" s="2"/>
      <c r="T58" s="2"/>
      <c r="U58" s="56"/>
      <c r="V58" s="56"/>
      <c r="W58" s="109"/>
      <c r="X58" s="117"/>
      <c r="Y58" s="109"/>
      <c r="Z58" s="155">
        <f>Poor!Z58</f>
        <v>0.25</v>
      </c>
      <c r="AA58" s="146">
        <f>$H$58*$B$58*Z58</f>
        <v>3242.3100000000004</v>
      </c>
      <c r="AB58" s="155">
        <f>Poor!AB58</f>
        <v>0.25</v>
      </c>
      <c r="AC58" s="146">
        <f>$H$58*$B$58*AB58</f>
        <v>3242.3100000000004</v>
      </c>
      <c r="AD58" s="155">
        <f>Poor!AD58</f>
        <v>0.25</v>
      </c>
      <c r="AE58" s="146">
        <f>$H$58*$B$58*AD58</f>
        <v>3242.3100000000004</v>
      </c>
      <c r="AF58" s="155">
        <f>Poor!AF58</f>
        <v>0.25</v>
      </c>
      <c r="AG58" s="146">
        <f>$H$58*$B$58*AF58</f>
        <v>3242.3100000000004</v>
      </c>
      <c r="AH58" s="154">
        <f>SUM(Z58,AB58,AD58,AF58)</f>
        <v>1</v>
      </c>
      <c r="AI58" s="146">
        <f>SUM(AA58,AC58,AE58,AG58)</f>
        <v>12969.240000000002</v>
      </c>
      <c r="AJ58" s="147">
        <f>(AA58+AC58)</f>
        <v>6484.6200000000008</v>
      </c>
      <c r="AK58" s="146">
        <f>(AE58+AG58)</f>
        <v>6484.6200000000008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3.5" customHeight="1">
      <c r="A59" s="109" t="s">
        <v>138</v>
      </c>
      <c r="B59" s="103">
        <f>[1]Summ!$H1033</f>
        <v>20808</v>
      </c>
      <c r="C59" s="39"/>
      <c r="D59" s="38"/>
      <c r="E59" s="75">
        <f>Poor!E59</f>
        <v>1</v>
      </c>
      <c r="F59" s="75">
        <f>Poor!F59</f>
        <v>1.1100000000000001</v>
      </c>
      <c r="G59" s="22"/>
      <c r="H59" s="24">
        <f t="shared" ref="H59:H60" si="35">(E59*F59)</f>
        <v>1.1100000000000001</v>
      </c>
      <c r="I59" s="39">
        <f t="shared" ref="I59:I60" si="36">I108*I$70</f>
        <v>0</v>
      </c>
      <c r="J59" s="51">
        <f t="shared" ref="J59:J60" si="37">J108*I$70</f>
        <v>23096.880000000005</v>
      </c>
      <c r="K59" s="40">
        <f t="shared" ref="K59:K60" si="38">B59/B$63</f>
        <v>0.23509493786294877</v>
      </c>
      <c r="L59" s="22">
        <f t="shared" ref="L59:L60" si="39">(L108*G$29*F$9/F$7)/B$112</f>
        <v>0.26095538102787325</v>
      </c>
      <c r="M59" s="24">
        <f t="shared" ref="M59:M60" si="40">J59/B$63</f>
        <v>0.26095538102787319</v>
      </c>
      <c r="O59" s="2"/>
      <c r="P59" s="2"/>
      <c r="Q59" s="2"/>
      <c r="R59" s="2"/>
      <c r="S59" s="2"/>
      <c r="T59" s="2"/>
      <c r="U59" s="56"/>
      <c r="V59" s="56"/>
      <c r="W59" s="109"/>
      <c r="X59" s="117"/>
      <c r="Y59" s="109"/>
      <c r="Z59" s="155"/>
      <c r="AA59" s="146"/>
      <c r="AB59" s="155"/>
      <c r="AC59" s="146"/>
      <c r="AD59" s="155"/>
      <c r="AE59" s="146"/>
      <c r="AF59" s="155"/>
      <c r="AG59" s="146"/>
      <c r="AH59" s="154"/>
      <c r="AI59" s="146"/>
      <c r="AJ59" s="147"/>
      <c r="AK59" s="146"/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3.5" customHeight="1">
      <c r="A60" s="109" t="s">
        <v>139</v>
      </c>
      <c r="B60" s="103">
        <f>[1]Summ!$H1034</f>
        <v>22420</v>
      </c>
      <c r="C60" s="39"/>
      <c r="D60" s="38"/>
      <c r="E60" s="75">
        <f>Poor!E60</f>
        <v>1</v>
      </c>
      <c r="F60" s="75">
        <f>Poor!F60</f>
        <v>1.1100000000000001</v>
      </c>
      <c r="G60" s="22"/>
      <c r="H60" s="24">
        <f t="shared" si="35"/>
        <v>1.1100000000000001</v>
      </c>
      <c r="I60" s="39">
        <f t="shared" si="36"/>
        <v>0</v>
      </c>
      <c r="J60" s="51">
        <f t="shared" si="37"/>
        <v>24886.200000000008</v>
      </c>
      <c r="K60" s="40">
        <f t="shared" si="38"/>
        <v>0.25330779060396541</v>
      </c>
      <c r="L60" s="22">
        <f t="shared" si="39"/>
        <v>0.28117164757040175</v>
      </c>
      <c r="M60" s="24">
        <f t="shared" si="40"/>
        <v>0.28117164757040164</v>
      </c>
      <c r="O60" s="2"/>
      <c r="P60" s="2"/>
      <c r="Q60" s="2"/>
      <c r="R60" s="2"/>
      <c r="S60" s="2"/>
      <c r="T60" s="2"/>
      <c r="U60" s="56"/>
      <c r="V60" s="56"/>
      <c r="W60" s="109"/>
      <c r="X60" s="117"/>
      <c r="Y60" s="109"/>
      <c r="Z60" s="155"/>
      <c r="AA60" s="146"/>
      <c r="AB60" s="155"/>
      <c r="AC60" s="146"/>
      <c r="AD60" s="155"/>
      <c r="AE60" s="146"/>
      <c r="AF60" s="155"/>
      <c r="AG60" s="146"/>
      <c r="AH60" s="154"/>
      <c r="AI60" s="146"/>
      <c r="AJ60" s="147"/>
      <c r="AK60" s="146"/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1" t="s">
        <v>37</v>
      </c>
      <c r="B61" s="81">
        <f>B110*B70</f>
        <v>3938.4323204419893</v>
      </c>
      <c r="C61" s="39"/>
      <c r="D61" s="38"/>
      <c r="E61" s="32"/>
      <c r="F61" s="32"/>
      <c r="G61" s="32"/>
      <c r="H61" s="31"/>
      <c r="I61" s="39">
        <f>I110*I$70</f>
        <v>173805.92409423803</v>
      </c>
      <c r="J61" s="51">
        <f>J110*I$70</f>
        <v>4468.1547471445901</v>
      </c>
      <c r="K61" s="40">
        <f>B61/B$63</f>
        <v>4.4497573128207353E-2</v>
      </c>
      <c r="L61" s="22">
        <f>(L110*G$29*F$9/F$7)/B$112</f>
        <v>4.6982011827457315E-2</v>
      </c>
      <c r="M61" s="24">
        <f>J61/B$63</f>
        <v>5.0482533767877598E-2</v>
      </c>
      <c r="O61" s="2"/>
      <c r="P61" s="2"/>
      <c r="Q61" s="2"/>
      <c r="R61" s="2"/>
      <c r="S61" s="2"/>
      <c r="T61" s="2"/>
      <c r="U61" s="56"/>
      <c r="V61" s="56"/>
      <c r="W61" s="109"/>
      <c r="X61" s="117"/>
      <c r="Y61" s="109"/>
      <c r="Z61" s="155"/>
      <c r="AA61" s="146">
        <f>AA22*$I$70/4</f>
        <v>0</v>
      </c>
      <c r="AB61" s="155"/>
      <c r="AC61" s="146">
        <f>AC22*$I$70/4</f>
        <v>613.01118915793143</v>
      </c>
      <c r="AD61" s="155"/>
      <c r="AE61" s="146">
        <f>AE22*$I$70/4</f>
        <v>1094.1290796361857</v>
      </c>
      <c r="AF61" s="155"/>
      <c r="AG61" s="146">
        <f>AG22*$I$70/4</f>
        <v>749.9738494758243</v>
      </c>
      <c r="AH61" s="154"/>
      <c r="AI61" s="146">
        <f>SUM(AA61,AC61,AE61,AG61)</f>
        <v>2457.1141182699416</v>
      </c>
      <c r="AJ61" s="147">
        <f>(AA61+AC61)</f>
        <v>613.01118915793143</v>
      </c>
      <c r="AK61" s="146">
        <f>(AE61+AG61)</f>
        <v>1844.1029291120099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1" t="s">
        <v>57</v>
      </c>
      <c r="B62" s="52">
        <f>B63-B57-B58-B59-B60-B61</f>
        <v>16181.246731798808</v>
      </c>
      <c r="C62" s="39"/>
      <c r="D62" s="38"/>
      <c r="E62" s="32"/>
      <c r="F62" s="32"/>
      <c r="G62" s="32"/>
      <c r="H62" s="31"/>
      <c r="I62" s="47"/>
      <c r="J62" s="51">
        <f>J111*I$70</f>
        <v>12773.454052275201</v>
      </c>
      <c r="K62" s="40">
        <f>B62/B$63</f>
        <v>0.18282051109944655</v>
      </c>
      <c r="L62" s="22">
        <f>(L111*G$29*F$9/F$7)/B$112</f>
        <v>0.15942217389718938</v>
      </c>
      <c r="M62" s="24">
        <f>J62/B$63</f>
        <v>0.1443182615683809</v>
      </c>
      <c r="O62" s="2"/>
      <c r="P62" s="2"/>
      <c r="Q62" s="2"/>
      <c r="R62" s="2"/>
      <c r="S62" s="2"/>
      <c r="T62" s="2"/>
      <c r="U62" s="56"/>
      <c r="V62" s="56"/>
      <c r="W62" s="109"/>
      <c r="X62" s="156"/>
      <c r="Y62" s="160" t="s">
        <v>106</v>
      </c>
      <c r="Z62" s="157"/>
      <c r="AA62" s="148">
        <f>AA66-AA61</f>
        <v>29500.914716913823</v>
      </c>
      <c r="AB62" s="157"/>
      <c r="AC62" s="148">
        <f>AA62+AC52-SUM(AC57,AC61)</f>
        <v>46801.096814065611</v>
      </c>
      <c r="AD62" s="157"/>
      <c r="AE62" s="148">
        <f>AC62+AE52-SUM(AE57,AE61)</f>
        <v>62963.360628874645</v>
      </c>
      <c r="AF62" s="157"/>
      <c r="AG62" s="148">
        <f>IF(SUM(AG6:AG21)+((AG52-AG57-$J$62)*4/I$70)&lt;1,0,AG52-AG57-$J$62-(1-SUM(AG6:AG21))*I$70/4)</f>
        <v>10852.809127051378</v>
      </c>
      <c r="AH62" s="133"/>
      <c r="AI62" s="148">
        <f>AI63-SUM(AI57,AI61)</f>
        <v>75736.814681149845</v>
      </c>
      <c r="AJ62" s="150">
        <f>AJ63-SUM(AJ57,AJ61)</f>
        <v>35948.287687014228</v>
      </c>
      <c r="AK62" s="148">
        <f>AJ62+AK63-SUM(AK57,AK61)</f>
        <v>75736.814681149859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 thickBot="1">
      <c r="A63" s="1" t="s">
        <v>33</v>
      </c>
      <c r="B63" s="81">
        <f>B52</f>
        <v>88508.924050632922</v>
      </c>
      <c r="C63" s="39"/>
      <c r="D63" s="38"/>
      <c r="E63" s="32"/>
      <c r="F63" s="32"/>
      <c r="G63" s="32"/>
      <c r="H63" s="31"/>
      <c r="I63" s="39">
        <f>I112*I$70</f>
        <v>189169.98339240506</v>
      </c>
      <c r="J63" s="51">
        <f>J112*I$70</f>
        <v>93557.988097586829</v>
      </c>
      <c r="K63" s="40">
        <f>SUM(K57:K62)</f>
        <v>1</v>
      </c>
      <c r="L63" s="22">
        <f>SUM(L57:L62)</f>
        <v>1.0686492092265603</v>
      </c>
      <c r="M63" s="24">
        <f>SUM(M57:M62)</f>
        <v>1.0570458188381717</v>
      </c>
      <c r="O63" s="2"/>
      <c r="P63" s="2"/>
      <c r="Q63" s="2"/>
      <c r="R63" s="2"/>
      <c r="S63" s="2"/>
      <c r="T63" s="2"/>
      <c r="U63" s="56"/>
      <c r="V63" s="56"/>
      <c r="W63" s="109"/>
      <c r="X63" s="190"/>
      <c r="Y63" s="190"/>
      <c r="Z63" s="136"/>
      <c r="AA63" s="153">
        <f>AA52</f>
        <v>22489.120414404202</v>
      </c>
      <c r="AB63" s="136"/>
      <c r="AC63" s="152">
        <f>AC52</f>
        <v>21754.208110851472</v>
      </c>
      <c r="AD63" s="136"/>
      <c r="AE63" s="152">
        <f>AE52</f>
        <v>21097.407718986986</v>
      </c>
      <c r="AF63" s="136"/>
      <c r="AG63" s="152">
        <f>AG52</f>
        <v>28217.251853344158</v>
      </c>
      <c r="AH63" s="136"/>
      <c r="AI63" s="152">
        <f>SUM(AA63,AC63,AE63,AG63)</f>
        <v>93557.988097586815</v>
      </c>
      <c r="AJ63" s="153">
        <f>SUM(AA63,AC63)</f>
        <v>44243.328525255674</v>
      </c>
      <c r="AK63" s="153">
        <f>SUM(AE63,AG63)</f>
        <v>49314.659572331148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 thickBot="1">
      <c r="A64" s="98" t="s">
        <v>38</v>
      </c>
      <c r="B64" s="81"/>
      <c r="C64" s="39"/>
      <c r="D64" s="38"/>
      <c r="E64" s="32"/>
      <c r="F64" s="32"/>
      <c r="G64" s="32"/>
      <c r="H64" s="31"/>
      <c r="I64" s="39">
        <f>I113*I$70</f>
        <v>60952.320000000029</v>
      </c>
      <c r="J64" s="99">
        <f>J113*I$70</f>
        <v>0</v>
      </c>
      <c r="K64" s="40"/>
      <c r="L64" s="22">
        <f>-(L113*G$29*F$9/F$7)/B$112</f>
        <v>-0.14653030910850032</v>
      </c>
      <c r="M64" s="24">
        <f>-J64/B$63</f>
        <v>0</v>
      </c>
      <c r="O64" s="2"/>
      <c r="P64" s="2"/>
      <c r="Q64" s="2"/>
      <c r="R64" s="2"/>
      <c r="S64" s="2"/>
      <c r="T64" s="2"/>
      <c r="U64" s="56"/>
      <c r="V64" s="56"/>
      <c r="W64" s="109"/>
      <c r="X64" s="109"/>
      <c r="Y64" s="160" t="s">
        <v>104</v>
      </c>
      <c r="Z64" s="158"/>
      <c r="AA64" s="110">
        <f>AA23*$I$70/4</f>
        <v>0</v>
      </c>
      <c r="AB64" s="111"/>
      <c r="AC64" s="110">
        <f>AC23*$I$70/4</f>
        <v>0</v>
      </c>
      <c r="AD64" s="111"/>
      <c r="AE64" s="110">
        <f>AE23*$I$70/4</f>
        <v>0</v>
      </c>
      <c r="AF64" s="111"/>
      <c r="AG64" s="110">
        <f>AG23*$I$70/4</f>
        <v>0</v>
      </c>
      <c r="AH64" s="109"/>
      <c r="AI64" s="153">
        <f>SUM(AA64,AC64,AE64,AG64)</f>
        <v>0</v>
      </c>
      <c r="AJ64" s="152">
        <f>SUM(AA64,AC64)</f>
        <v>0</v>
      </c>
      <c r="AK64" s="159">
        <f>SUM(AE64,AG64)</f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82" t="s">
        <v>39</v>
      </c>
      <c r="B65" s="39"/>
      <c r="C65" s="39"/>
      <c r="D65" s="38"/>
      <c r="E65" s="32"/>
      <c r="F65" s="32"/>
      <c r="G65" s="32"/>
      <c r="H65" s="31"/>
      <c r="I65" s="47"/>
      <c r="J65" s="48"/>
      <c r="K65" s="32"/>
      <c r="L65" s="32"/>
      <c r="M65" s="48"/>
      <c r="N65" s="2"/>
      <c r="O65" s="2"/>
      <c r="P65" s="2"/>
      <c r="Q65" s="2"/>
      <c r="R65" s="2"/>
      <c r="S65" s="2"/>
      <c r="T65" s="2"/>
      <c r="U65" s="56"/>
      <c r="V65" s="56"/>
      <c r="W65" s="109"/>
      <c r="X65" s="109"/>
      <c r="Y65" s="160" t="s">
        <v>105</v>
      </c>
      <c r="Z65" s="109"/>
      <c r="AA65" s="111">
        <f>IF(SUM(AG6:AG21)+((AG52-AG57-$J$62)*4/I$70)&lt;1,0,AG52-AG57-$J$62-(1-SUM(AG6:AG21))*I$70/4)</f>
        <v>10852.809127051378</v>
      </c>
      <c r="AB65" s="111"/>
      <c r="AC65" s="111">
        <f>IF(AA62&lt;0,0,AA62)</f>
        <v>29500.914716913823</v>
      </c>
      <c r="AD65" s="111"/>
      <c r="AE65" s="111">
        <f>AC62</f>
        <v>46801.096814065611</v>
      </c>
      <c r="AF65" s="111"/>
      <c r="AG65" s="111">
        <f>AE62</f>
        <v>62963.360628874645</v>
      </c>
      <c r="AH65" s="109"/>
      <c r="AI65" s="145"/>
      <c r="AJ65" s="109"/>
      <c r="AK65" s="145"/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4" customHeight="1">
      <c r="A66" s="39" t="s">
        <v>40</v>
      </c>
      <c r="B66" s="232" t="str">
        <f>[1]Summ!$H1037</f>
        <v>maize</v>
      </c>
      <c r="C66" s="39"/>
      <c r="D66" s="38"/>
      <c r="E66" s="32"/>
      <c r="F66" s="32"/>
      <c r="G66" s="32"/>
      <c r="H66" s="31"/>
      <c r="I66" s="47"/>
      <c r="J66" s="48"/>
      <c r="K66" s="32"/>
      <c r="L66" s="32"/>
      <c r="M66" s="48"/>
      <c r="N66" s="32"/>
      <c r="O66" s="2"/>
      <c r="P66" s="2"/>
      <c r="Q66" s="2"/>
      <c r="R66" s="2"/>
      <c r="S66" s="2"/>
      <c r="T66" s="2"/>
      <c r="U66" s="56"/>
      <c r="V66" s="56"/>
      <c r="W66" s="109"/>
      <c r="X66" s="109"/>
      <c r="Y66" s="160" t="s">
        <v>65</v>
      </c>
      <c r="Z66" s="109"/>
      <c r="AA66" s="111">
        <f>AA52-AA57+IF(SUM(AG6:AG21)+((AG52-AG57-$J$62)*4/I$70)&lt;1,0,AG52-AG57-$J$62-(1-SUM(AG6:AG21))*I$70/4)</f>
        <v>29500.914716913823</v>
      </c>
      <c r="AB66" s="111"/>
      <c r="AC66" s="111">
        <f>AA66-AA61+AC52-AC57</f>
        <v>47414.10800322354</v>
      </c>
      <c r="AD66" s="111"/>
      <c r="AE66" s="111">
        <f>AC66-AC61+AE52-AE57</f>
        <v>64057.489708510831</v>
      </c>
      <c r="AF66" s="111"/>
      <c r="AG66" s="111">
        <f>AE66-AE61+AG52-AG57</f>
        <v>87339.597657677048</v>
      </c>
      <c r="AH66" s="109"/>
      <c r="AI66" s="145"/>
      <c r="AJ66" s="109"/>
      <c r="AK66" s="145"/>
      <c r="AS66" s="25"/>
      <c r="AT66" s="25"/>
      <c r="AU66" s="25"/>
      <c r="AV66" s="25"/>
      <c r="AW66" s="25"/>
      <c r="AX66" s="25"/>
      <c r="AZ66" s="25"/>
      <c r="BA66" s="25"/>
      <c r="BB66" s="25"/>
      <c r="BC66" s="25"/>
      <c r="BD66" s="25"/>
      <c r="BE66" s="25"/>
      <c r="BI66" s="25"/>
      <c r="BJ66" s="25"/>
      <c r="BK66" s="25"/>
      <c r="BL66" s="25"/>
      <c r="BM66" s="25"/>
      <c r="BN66" s="25"/>
      <c r="BP66" s="25"/>
      <c r="BQ66" s="25"/>
      <c r="BR66" s="25"/>
      <c r="BS66" s="25"/>
      <c r="BT66" s="25"/>
      <c r="BU66" s="25"/>
      <c r="BX66" s="25"/>
      <c r="BY66" s="25"/>
      <c r="BZ66" s="25"/>
      <c r="CA66" s="25"/>
      <c r="CB66" s="25"/>
      <c r="CC66" s="25"/>
      <c r="CE66" s="25"/>
      <c r="CF66" s="25"/>
      <c r="CG66" s="25"/>
      <c r="CH66" s="25"/>
      <c r="CI66" s="25"/>
      <c r="CJ66" s="25"/>
    </row>
    <row r="67" spans="1:88" ht="14" customHeight="1">
      <c r="A67" s="39" t="s">
        <v>41</v>
      </c>
      <c r="B67" s="232">
        <f>[1]Summ!$H1038</f>
        <v>0.58061985920496251</v>
      </c>
      <c r="C67" s="39"/>
      <c r="D67" s="38"/>
      <c r="E67" s="32"/>
      <c r="F67" s="32"/>
      <c r="G67" s="32"/>
      <c r="H67" s="31"/>
      <c r="I67" s="47"/>
      <c r="J67" s="48"/>
      <c r="K67" s="32"/>
      <c r="L67" s="32"/>
      <c r="M67" s="48"/>
      <c r="N67" s="32"/>
      <c r="O67" s="2"/>
      <c r="P67" s="2"/>
      <c r="Q67" s="2"/>
      <c r="R67" s="2"/>
      <c r="S67" s="2"/>
      <c r="T67" s="2"/>
      <c r="U67" s="56"/>
      <c r="V67" s="56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45"/>
      <c r="AJ67" s="109"/>
      <c r="AK67" s="145"/>
      <c r="AS67" s="25"/>
      <c r="AT67" s="25"/>
      <c r="AU67" s="25"/>
      <c r="AV67" s="25"/>
      <c r="AW67" s="25"/>
      <c r="AX67" s="25"/>
      <c r="AZ67" s="25"/>
      <c r="BA67" s="25"/>
      <c r="BB67" s="25"/>
      <c r="BC67" s="25"/>
      <c r="BD67" s="25"/>
      <c r="BE67" s="25"/>
      <c r="BI67" s="25"/>
      <c r="BJ67" s="25"/>
      <c r="BK67" s="25"/>
      <c r="BL67" s="25"/>
      <c r="BM67" s="25"/>
      <c r="BN67" s="25"/>
      <c r="BP67" s="25"/>
      <c r="BQ67" s="25"/>
      <c r="BR67" s="25"/>
      <c r="BS67" s="25"/>
      <c r="BT67" s="25"/>
      <c r="BU67" s="25"/>
      <c r="BX67" s="25"/>
      <c r="BY67" s="25"/>
      <c r="BZ67" s="25"/>
      <c r="CA67" s="25"/>
      <c r="CB67" s="25"/>
      <c r="CC67" s="25"/>
      <c r="CE67" s="25"/>
      <c r="CF67" s="25"/>
      <c r="CG67" s="25"/>
      <c r="CH67" s="25"/>
      <c r="CI67" s="25"/>
      <c r="CJ67" s="25"/>
    </row>
    <row r="68" spans="1:88" ht="14" customHeight="1">
      <c r="A68" s="39" t="s">
        <v>42</v>
      </c>
      <c r="B68" s="232">
        <f>[1]Summ!$H1039</f>
        <v>6</v>
      </c>
      <c r="C68" s="39"/>
      <c r="D68" s="38"/>
      <c r="E68" s="32"/>
      <c r="F68" s="32"/>
      <c r="G68" s="32"/>
      <c r="H68" s="31"/>
      <c r="I68" s="47"/>
      <c r="J68" s="48"/>
      <c r="K68" s="32"/>
      <c r="L68" s="32"/>
      <c r="M68" s="48"/>
      <c r="N68" s="32"/>
      <c r="O68" s="2"/>
      <c r="P68" s="2"/>
      <c r="Q68" s="2"/>
      <c r="R68" s="2"/>
      <c r="S68" s="2"/>
      <c r="T68" s="2"/>
      <c r="U68" s="56"/>
      <c r="V68" s="56"/>
      <c r="W68" s="109"/>
      <c r="X68" s="109"/>
      <c r="Y68" s="109"/>
      <c r="Z68" s="142" t="s">
        <v>66</v>
      </c>
      <c r="AA68" s="158"/>
      <c r="AB68" s="158"/>
      <c r="AC68" s="158"/>
      <c r="AD68" s="158"/>
      <c r="AE68" s="158"/>
      <c r="AF68" s="158"/>
      <c r="AG68" s="143"/>
      <c r="AH68" s="113" t="s">
        <v>67</v>
      </c>
      <c r="AI68" s="145"/>
      <c r="AJ68" s="109"/>
      <c r="AK68" s="145"/>
      <c r="AS68" s="25"/>
      <c r="AT68" s="25"/>
      <c r="AU68" s="25"/>
      <c r="AV68" s="25"/>
      <c r="AW68" s="25"/>
      <c r="AX68" s="25"/>
      <c r="AZ68" s="25"/>
      <c r="BA68" s="25"/>
      <c r="BB68" s="25"/>
      <c r="BC68" s="25"/>
      <c r="BD68" s="25"/>
      <c r="BE68" s="25"/>
      <c r="BI68" s="25"/>
      <c r="BJ68" s="25"/>
      <c r="BK68" s="25"/>
      <c r="BL68" s="25"/>
      <c r="BM68" s="25"/>
      <c r="BN68" s="25"/>
      <c r="BP68" s="25"/>
      <c r="BQ68" s="25"/>
      <c r="BR68" s="25"/>
      <c r="BS68" s="25"/>
      <c r="BT68" s="25"/>
      <c r="BU68" s="25"/>
      <c r="BX68" s="25"/>
      <c r="BY68" s="25"/>
      <c r="BZ68" s="25"/>
      <c r="CA68" s="25"/>
      <c r="CB68" s="25"/>
      <c r="CC68" s="25"/>
      <c r="CE68" s="25"/>
      <c r="CF68" s="25"/>
      <c r="CG68" s="25"/>
      <c r="CH68" s="25"/>
      <c r="CI68" s="25"/>
      <c r="CJ68" s="25"/>
    </row>
    <row r="69" spans="1:88" ht="14" customHeight="1">
      <c r="A69" s="39" t="s">
        <v>43</v>
      </c>
      <c r="B69" s="232">
        <f>[1]Summ!$H1040</f>
        <v>5.625</v>
      </c>
      <c r="C69" s="39"/>
      <c r="D69" s="38"/>
      <c r="E69" s="32"/>
      <c r="F69" s="32"/>
      <c r="G69" s="32"/>
      <c r="H69" s="31"/>
      <c r="I69" s="47"/>
      <c r="J69" s="48"/>
      <c r="K69" s="32"/>
      <c r="L69" s="32"/>
      <c r="M69" s="48"/>
      <c r="N69" s="32"/>
      <c r="O69" s="2"/>
      <c r="P69" s="2"/>
      <c r="Q69" s="2"/>
      <c r="R69" s="2"/>
      <c r="S69" s="2"/>
      <c r="T69" s="2"/>
      <c r="U69" s="56"/>
      <c r="V69" s="56"/>
      <c r="X69" s="109"/>
      <c r="Y69" s="160" t="s">
        <v>68</v>
      </c>
      <c r="Z69" s="161">
        <f>IF($AH$69=0,0,AA69/$AH$69)</f>
        <v>1</v>
      </c>
      <c r="AA69" s="194">
        <f>Poor!AA69</f>
        <v>6.3000000000000007</v>
      </c>
      <c r="AB69" s="161">
        <f>IF($AH$69=0,0,AC69/$AH$69)</f>
        <v>1</v>
      </c>
      <c r="AC69" s="194">
        <f>Poor!AC69</f>
        <v>6.3000000000000007</v>
      </c>
      <c r="AD69" s="161">
        <f>IF($AH$69=0,0,AE69/$AH$69)</f>
        <v>1</v>
      </c>
      <c r="AE69" s="194">
        <f>Poor!AE69</f>
        <v>6.3000000000000007</v>
      </c>
      <c r="AF69" s="161">
        <f>IF($AH$69=0,0,AG69/$AH$69)</f>
        <v>1</v>
      </c>
      <c r="AG69" s="194">
        <f>Poor!AG69</f>
        <v>6.3000000000000007</v>
      </c>
      <c r="AH69" s="163">
        <f>IF(PRODUCT(AA69,AC69,AE69,AG69)=0,0,SUM(AA69,AC69,AE69,AG69)/4)</f>
        <v>6.3000000000000007</v>
      </c>
      <c r="AI69" s="145"/>
      <c r="AJ69" s="109"/>
      <c r="AK69" s="145"/>
      <c r="AS69" s="25"/>
      <c r="AT69" s="25"/>
      <c r="AU69" s="25"/>
      <c r="AV69" s="25"/>
      <c r="AW69" s="25"/>
      <c r="AX69" s="25"/>
      <c r="AZ69" s="25"/>
      <c r="BA69" s="25"/>
      <c r="BB69" s="25"/>
      <c r="BC69" s="25"/>
      <c r="BD69" s="25"/>
      <c r="BE69" s="25"/>
      <c r="BI69" s="25"/>
      <c r="BJ69" s="25"/>
      <c r="BK69" s="25"/>
      <c r="BL69" s="25"/>
      <c r="BM69" s="25"/>
      <c r="BN69" s="25"/>
      <c r="BP69" s="25"/>
      <c r="BQ69" s="25"/>
      <c r="BR69" s="25"/>
      <c r="BS69" s="25"/>
      <c r="BT69" s="25"/>
      <c r="BU69" s="25"/>
      <c r="BX69" s="25"/>
      <c r="BY69" s="25"/>
      <c r="BZ69" s="25"/>
      <c r="CA69" s="25"/>
      <c r="CB69" s="25"/>
      <c r="CC69" s="25"/>
      <c r="CE69" s="25"/>
      <c r="CF69" s="25"/>
      <c r="CG69" s="25"/>
      <c r="CH69" s="25"/>
      <c r="CI69" s="25"/>
      <c r="CJ69" s="25"/>
    </row>
    <row r="70" spans="1:88" ht="14" customHeight="1">
      <c r="A70" s="39" t="s">
        <v>44</v>
      </c>
      <c r="B70" s="39">
        <f>365*B67*B68*B69</f>
        <v>7152.5108905811321</v>
      </c>
      <c r="C70" s="39"/>
      <c r="D70" s="38"/>
      <c r="E70" s="32"/>
      <c r="F70" s="32"/>
      <c r="G70" s="32"/>
      <c r="H70" s="24">
        <f>G$29*F$9/F$7</f>
        <v>1.1200000000000001</v>
      </c>
      <c r="I70" s="39">
        <f xml:space="preserve"> B70*H70</f>
        <v>8010.8121974508686</v>
      </c>
      <c r="J70" s="48"/>
      <c r="K70" s="32"/>
      <c r="L70" s="32"/>
      <c r="M70" s="48"/>
      <c r="N70" s="32"/>
      <c r="O70" s="2"/>
      <c r="P70" s="2"/>
      <c r="Q70" s="2"/>
      <c r="R70" s="2"/>
      <c r="S70" s="2"/>
      <c r="T70" s="2"/>
      <c r="U70" s="56"/>
      <c r="V70" s="56"/>
      <c r="X70" s="109"/>
      <c r="Y70" s="160" t="s">
        <v>133</v>
      </c>
      <c r="Z70" s="109"/>
      <c r="AA70" s="164">
        <f>$I$70*Z69/4</f>
        <v>2002.7030493627171</v>
      </c>
      <c r="AB70" s="111"/>
      <c r="AC70" s="164">
        <f>$I$70*AB69/4</f>
        <v>2002.7030493627171</v>
      </c>
      <c r="AD70" s="111"/>
      <c r="AE70" s="164">
        <f>$I$70*AD69/4</f>
        <v>2002.7030493627171</v>
      </c>
      <c r="AF70" s="111"/>
      <c r="AG70" s="164">
        <f>$I$70*AF69/4</f>
        <v>2002.7030493627171</v>
      </c>
      <c r="AH70" s="164">
        <f>SUM(AA70,AC70,AE70,AG70)</f>
        <v>8010.8121974508686</v>
      </c>
      <c r="AI70" s="145"/>
      <c r="AJ70" s="109"/>
      <c r="AK70" s="145"/>
      <c r="AS70" s="25"/>
      <c r="AT70" s="25"/>
      <c r="AU70" s="25"/>
      <c r="AV70" s="25"/>
      <c r="AW70" s="25"/>
      <c r="AX70" s="25"/>
      <c r="AZ70" s="25"/>
      <c r="BA70" s="25"/>
      <c r="BB70" s="25"/>
      <c r="BC70" s="25"/>
      <c r="BD70" s="25"/>
      <c r="BE70" s="25"/>
      <c r="BI70" s="25"/>
      <c r="BJ70" s="25"/>
      <c r="BK70" s="25"/>
      <c r="BL70" s="25"/>
      <c r="BM70" s="25"/>
      <c r="BN70" s="25"/>
      <c r="BP70" s="25"/>
      <c r="BQ70" s="25"/>
      <c r="BR70" s="25"/>
      <c r="BS70" s="25"/>
      <c r="BT70" s="25"/>
      <c r="BU70" s="25"/>
      <c r="BX70" s="25"/>
      <c r="BY70" s="25"/>
      <c r="BZ70" s="25"/>
      <c r="CA70" s="25"/>
      <c r="CB70" s="25"/>
      <c r="CC70" s="25"/>
      <c r="CE70" s="25"/>
      <c r="CF70" s="25"/>
      <c r="CG70" s="25"/>
      <c r="CH70" s="25"/>
      <c r="CI70" s="25"/>
      <c r="CJ70" s="25"/>
    </row>
    <row r="71" spans="1:88" ht="14" customHeight="1" thickBot="1">
      <c r="A71" s="46" t="s">
        <v>144</v>
      </c>
      <c r="B71" s="244">
        <f>B57+((1-D21)*B70)</f>
        <v>16436.928182135824</v>
      </c>
      <c r="C71" s="46"/>
      <c r="D71" s="245"/>
      <c r="E71" s="64"/>
      <c r="F71" s="64"/>
      <c r="G71" s="64"/>
      <c r="H71" s="246">
        <f>IF(B71=0,0,I71/B71)</f>
        <v>1.1363987392888162</v>
      </c>
      <c r="I71" s="244">
        <f>(B57*H57)+((1-(D21*H21))*I70)</f>
        <v>18678.904463959963</v>
      </c>
      <c r="J71" s="48"/>
      <c r="K71" s="32"/>
      <c r="L71" s="32"/>
      <c r="M71" s="48"/>
      <c r="N71" s="32"/>
      <c r="O71" s="2"/>
      <c r="P71" s="2"/>
      <c r="Q71" s="2"/>
      <c r="R71" s="2"/>
      <c r="S71" s="2"/>
      <c r="T71" s="2"/>
      <c r="U71" s="56"/>
      <c r="V71" s="56"/>
      <c r="X71" s="109"/>
      <c r="Y71" s="160"/>
      <c r="Z71" s="109"/>
      <c r="AA71" s="109"/>
      <c r="AB71" s="109"/>
      <c r="AC71" s="109"/>
      <c r="AD71" s="109"/>
      <c r="AE71" s="109"/>
      <c r="AF71" s="109"/>
      <c r="AG71" s="109"/>
      <c r="AH71" s="109"/>
      <c r="AI71" s="145"/>
      <c r="AJ71" s="109"/>
      <c r="AK71" s="145"/>
      <c r="AS71" s="25"/>
      <c r="AT71" s="25"/>
      <c r="AU71" s="25"/>
      <c r="AV71" s="25"/>
      <c r="AW71" s="25"/>
      <c r="AX71" s="25"/>
      <c r="AZ71" s="25"/>
      <c r="BA71" s="25"/>
      <c r="BB71" s="25"/>
      <c r="BC71" s="25"/>
      <c r="BD71" s="25"/>
      <c r="BE71" s="25"/>
      <c r="BI71" s="25"/>
      <c r="BJ71" s="25"/>
      <c r="BK71" s="25"/>
      <c r="BL71" s="25"/>
      <c r="BM71" s="25"/>
      <c r="BN71" s="25"/>
      <c r="BP71" s="25"/>
      <c r="BQ71" s="25"/>
      <c r="BR71" s="25"/>
      <c r="BS71" s="25"/>
      <c r="BT71" s="25"/>
      <c r="BU71" s="25"/>
      <c r="BX71" s="25"/>
      <c r="BY71" s="25"/>
      <c r="BZ71" s="25"/>
      <c r="CA71" s="25"/>
      <c r="CB71" s="25"/>
      <c r="CC71" s="25"/>
      <c r="CE71" s="25"/>
      <c r="CF71" s="25"/>
      <c r="CG71" s="25"/>
      <c r="CH71" s="25"/>
      <c r="CI71" s="25"/>
      <c r="CJ71" s="25"/>
    </row>
    <row r="72" spans="1:88" ht="14" customHeight="1" thickBot="1">
      <c r="A72" s="39" t="s">
        <v>45</v>
      </c>
      <c r="B72" s="39"/>
      <c r="C72" s="39"/>
      <c r="D72" s="38"/>
      <c r="E72" s="32"/>
      <c r="F72" s="32"/>
      <c r="G72" s="32"/>
      <c r="H72" s="31"/>
      <c r="I72" s="47"/>
      <c r="J72" s="48"/>
      <c r="K72" s="32"/>
      <c r="L72" s="32"/>
      <c r="M72" s="48"/>
      <c r="N72" s="32"/>
      <c r="O72" s="2"/>
      <c r="P72" s="2"/>
      <c r="Q72" s="2"/>
      <c r="R72" s="2"/>
      <c r="S72" s="2"/>
      <c r="T72" s="2"/>
      <c r="U72" s="56"/>
      <c r="V72" s="56"/>
      <c r="X72" s="109"/>
      <c r="Y72" s="160"/>
      <c r="Z72" s="109"/>
      <c r="AA72" s="112"/>
      <c r="AB72" s="109"/>
      <c r="AC72" s="112"/>
      <c r="AD72" s="109"/>
      <c r="AE72" s="112"/>
      <c r="AF72" s="109"/>
      <c r="AG72" s="112"/>
      <c r="AH72" s="109"/>
      <c r="AI72" s="191"/>
      <c r="AJ72" s="192"/>
      <c r="AK72" s="193"/>
      <c r="AS72" s="25"/>
      <c r="AT72" s="25"/>
      <c r="AU72" s="25"/>
      <c r="AV72" s="25"/>
      <c r="AW72" s="25"/>
      <c r="AX72" s="25"/>
      <c r="AZ72" s="25"/>
      <c r="BA72" s="25"/>
      <c r="BB72" s="25"/>
      <c r="BC72" s="25"/>
      <c r="BD72" s="25"/>
      <c r="BE72" s="25"/>
      <c r="BI72" s="25"/>
      <c r="BJ72" s="25"/>
      <c r="BK72" s="25"/>
      <c r="BL72" s="25"/>
      <c r="BM72" s="25"/>
      <c r="BN72" s="25"/>
      <c r="BP72" s="25"/>
      <c r="BQ72" s="25"/>
      <c r="BR72" s="25"/>
      <c r="BS72" s="25"/>
      <c r="BT72" s="25"/>
      <c r="BU72" s="25"/>
      <c r="BX72" s="25"/>
      <c r="BY72" s="25"/>
      <c r="BZ72" s="25"/>
      <c r="CA72" s="25"/>
      <c r="CB72" s="25"/>
      <c r="CC72" s="25"/>
      <c r="CE72" s="25"/>
      <c r="CF72" s="25"/>
      <c r="CG72" s="25"/>
      <c r="CH72" s="25"/>
      <c r="CI72" s="25"/>
      <c r="CJ72" s="25"/>
    </row>
    <row r="73" spans="1:88" ht="14" customHeight="1">
      <c r="A73" s="105"/>
      <c r="B73" s="106"/>
      <c r="C73" s="39"/>
      <c r="D73" s="38"/>
      <c r="E73" s="32"/>
      <c r="F73" s="32"/>
      <c r="G73" s="32"/>
      <c r="H73" s="31"/>
      <c r="I73" s="47"/>
      <c r="J73" s="48"/>
      <c r="K73" s="32"/>
      <c r="L73" s="32"/>
      <c r="M73" s="48"/>
      <c r="N73" s="3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S73" s="25"/>
      <c r="AT73" s="25"/>
      <c r="AU73" s="25"/>
      <c r="AV73" s="25"/>
      <c r="AW73" s="25"/>
      <c r="AX73" s="25"/>
      <c r="AZ73" s="25"/>
      <c r="BA73" s="25"/>
      <c r="BB73" s="25"/>
      <c r="BC73" s="25"/>
      <c r="BD73" s="25"/>
      <c r="BE73" s="25"/>
      <c r="BI73" s="25"/>
      <c r="BJ73" s="25"/>
      <c r="BK73" s="25"/>
      <c r="BL73" s="25"/>
      <c r="BM73" s="25"/>
      <c r="BN73" s="25"/>
      <c r="BP73" s="25"/>
      <c r="BQ73" s="25"/>
      <c r="BR73" s="25"/>
      <c r="BS73" s="25"/>
      <c r="BT73" s="25"/>
      <c r="BU73" s="25"/>
      <c r="BX73" s="25"/>
      <c r="BY73" s="25"/>
      <c r="BZ73" s="25"/>
      <c r="CA73" s="25"/>
      <c r="CB73" s="25"/>
      <c r="CC73" s="25"/>
      <c r="CE73" s="25"/>
      <c r="CF73" s="25"/>
      <c r="CG73" s="25"/>
      <c r="CH73" s="25"/>
      <c r="CI73" s="25"/>
      <c r="CJ73" s="25"/>
    </row>
    <row r="74" spans="1:88" ht="14" customHeight="1">
      <c r="A74" s="39" t="s">
        <v>125</v>
      </c>
      <c r="B74" s="75">
        <f>[1]Summ!$J$815</f>
        <v>0</v>
      </c>
      <c r="C74" s="14"/>
      <c r="D74" s="12"/>
      <c r="E74" s="14"/>
      <c r="F74" s="14"/>
      <c r="G74" s="14"/>
      <c r="H74" s="12"/>
      <c r="I74" s="14"/>
      <c r="J74" s="12"/>
      <c r="K74" s="14"/>
      <c r="L74" s="14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S74" s="25"/>
      <c r="AT74" s="25"/>
      <c r="AU74" s="25"/>
      <c r="AV74" s="25"/>
      <c r="AW74" s="25"/>
      <c r="AX74" s="25"/>
      <c r="AZ74" s="25"/>
      <c r="BA74" s="25"/>
      <c r="BB74" s="25"/>
      <c r="BC74" s="25"/>
      <c r="BD74" s="25"/>
      <c r="BE74" s="25"/>
      <c r="BI74" s="25"/>
      <c r="BJ74" s="25"/>
      <c r="BK74" s="25"/>
      <c r="BL74" s="25"/>
      <c r="BM74" s="25"/>
      <c r="BN74" s="25"/>
      <c r="BP74" s="25"/>
      <c r="BQ74" s="25"/>
      <c r="BR74" s="25"/>
      <c r="BS74" s="25"/>
      <c r="BT74" s="25"/>
      <c r="BU74" s="25"/>
      <c r="BX74" s="25"/>
      <c r="BY74" s="25"/>
      <c r="BZ74" s="25"/>
      <c r="CA74" s="25"/>
      <c r="CB74" s="25"/>
      <c r="CC74" s="25"/>
      <c r="CE74" s="25"/>
      <c r="CF74" s="25"/>
      <c r="CG74" s="25"/>
      <c r="CH74" s="25"/>
      <c r="CI74" s="25"/>
      <c r="CJ74" s="25"/>
    </row>
    <row r="75" spans="1:88" ht="15.75" customHeight="1">
      <c r="A75" s="73" t="str">
        <f>A26</f>
        <v>Income : Middle HHs</v>
      </c>
      <c r="B75" s="2"/>
      <c r="C75" s="2"/>
      <c r="D75" s="31"/>
      <c r="E75" s="2"/>
      <c r="F75" s="2"/>
      <c r="G75" s="2"/>
      <c r="H75" s="17"/>
      <c r="I75" s="2"/>
      <c r="J75" s="33"/>
      <c r="M75" s="57"/>
      <c r="N75" s="58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S75" s="25"/>
      <c r="AT75" s="25"/>
      <c r="AU75" s="25"/>
      <c r="AV75" s="25"/>
      <c r="AW75" s="25"/>
      <c r="AX75" s="25"/>
      <c r="AZ75" s="25"/>
      <c r="BA75" s="25"/>
      <c r="BB75" s="25"/>
      <c r="BC75" s="25"/>
      <c r="BD75" s="25"/>
      <c r="BE75" s="25"/>
      <c r="BI75" s="25"/>
      <c r="BJ75" s="25"/>
      <c r="BK75" s="25"/>
      <c r="BL75" s="25"/>
      <c r="BM75" s="25"/>
      <c r="BN75" s="25"/>
      <c r="BP75" s="25"/>
      <c r="BQ75" s="25"/>
      <c r="BR75" s="25"/>
      <c r="BS75" s="25"/>
      <c r="BT75" s="25"/>
      <c r="BU75" s="25"/>
      <c r="BX75" s="25"/>
      <c r="BY75" s="25"/>
      <c r="BZ75" s="25"/>
      <c r="CA75" s="25"/>
      <c r="CB75" s="25"/>
      <c r="CC75" s="25"/>
      <c r="CE75" s="25"/>
      <c r="CF75" s="25"/>
      <c r="CG75" s="25"/>
      <c r="CH75" s="25"/>
      <c r="CI75" s="25"/>
      <c r="CJ75" s="25"/>
    </row>
    <row r="76" spans="1:88" ht="14" customHeight="1">
      <c r="A76" s="2"/>
      <c r="B76" s="19" t="s">
        <v>7</v>
      </c>
      <c r="C76" s="19" t="s">
        <v>8</v>
      </c>
      <c r="D76" s="16" t="s">
        <v>9</v>
      </c>
      <c r="H76" s="16" t="s">
        <v>12</v>
      </c>
      <c r="I76" s="19" t="s">
        <v>13</v>
      </c>
      <c r="J76" s="16" t="s">
        <v>14</v>
      </c>
      <c r="K76" s="19" t="s">
        <v>7</v>
      </c>
      <c r="L76" s="19" t="s">
        <v>15</v>
      </c>
      <c r="M76" s="57" t="str">
        <f t="shared" ref="M76:M101" si="41">(J76)</f>
        <v>Curr.</v>
      </c>
      <c r="N76" s="58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S76" s="25"/>
      <c r="AT76" s="25"/>
      <c r="AU76" s="25"/>
      <c r="AV76" s="25"/>
      <c r="AW76" s="25"/>
      <c r="AX76" s="25"/>
      <c r="AZ76" s="25"/>
      <c r="BA76" s="25"/>
      <c r="BB76" s="25"/>
      <c r="BC76" s="25"/>
      <c r="BD76" s="25"/>
      <c r="BE76" s="25"/>
      <c r="BI76" s="25"/>
      <c r="BJ76" s="25"/>
      <c r="BK76" s="25"/>
      <c r="BL76" s="25"/>
      <c r="BM76" s="25"/>
      <c r="BN76" s="25"/>
      <c r="BP76" s="25"/>
      <c r="BQ76" s="25"/>
      <c r="BR76" s="25"/>
      <c r="BS76" s="25"/>
      <c r="BT76" s="25"/>
      <c r="BU76" s="25"/>
      <c r="BX76" s="25"/>
      <c r="BY76" s="25"/>
      <c r="BZ76" s="25"/>
      <c r="CA76" s="25"/>
      <c r="CB76" s="25"/>
      <c r="CC76" s="25"/>
      <c r="CE76" s="25"/>
      <c r="CF76" s="25"/>
      <c r="CG76" s="25"/>
      <c r="CH76" s="25"/>
      <c r="CI76" s="25"/>
      <c r="CJ76" s="25"/>
    </row>
    <row r="77" spans="1:88" ht="14" customHeight="1">
      <c r="A77" s="2" t="s">
        <v>46</v>
      </c>
      <c r="B77" s="19" t="s">
        <v>16</v>
      </c>
      <c r="C77" s="19" t="s">
        <v>17</v>
      </c>
      <c r="D77" s="16" t="s">
        <v>16</v>
      </c>
      <c r="H77" s="16" t="s">
        <v>18</v>
      </c>
      <c r="I77" s="19" t="s">
        <v>16</v>
      </c>
      <c r="J77" s="16" t="s">
        <v>16</v>
      </c>
      <c r="K77" s="19" t="s">
        <v>16</v>
      </c>
      <c r="L77" s="19" t="s">
        <v>20</v>
      </c>
      <c r="M77" s="57" t="str">
        <f t="shared" si="41"/>
        <v>Access</v>
      </c>
      <c r="N77" s="58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S77" s="25"/>
      <c r="AT77" s="25"/>
      <c r="AU77" s="25"/>
      <c r="AV77" s="25"/>
      <c r="AW77" s="25"/>
      <c r="AX77" s="25"/>
      <c r="AZ77" s="25"/>
      <c r="BA77" s="25"/>
      <c r="BB77" s="25"/>
      <c r="BC77" s="25"/>
      <c r="BD77" s="25"/>
      <c r="BE77" s="25"/>
      <c r="BI77" s="25"/>
      <c r="BJ77" s="25"/>
      <c r="BK77" s="25"/>
      <c r="BL77" s="25"/>
      <c r="BM77" s="25"/>
      <c r="BN77" s="25"/>
      <c r="BP77" s="25"/>
      <c r="BQ77" s="25"/>
      <c r="BR77" s="25"/>
      <c r="BS77" s="25"/>
      <c r="BT77" s="25"/>
      <c r="BU77" s="25"/>
      <c r="BX77" s="25"/>
      <c r="BY77" s="25"/>
      <c r="BZ77" s="25"/>
      <c r="CA77" s="25"/>
      <c r="CB77" s="25"/>
      <c r="CC77" s="25"/>
      <c r="CE77" s="25"/>
      <c r="CF77" s="25"/>
      <c r="CG77" s="25"/>
      <c r="CH77" s="25"/>
      <c r="CI77" s="25"/>
      <c r="CJ77" s="25"/>
    </row>
    <row r="78" spans="1:88" ht="14" customHeight="1">
      <c r="A78" s="2" t="str">
        <f t="shared" ref="A78:A100" si="42">IF(A29="","",A29)</f>
        <v>Pig sales: no sold</v>
      </c>
      <c r="B78" s="75">
        <f t="shared" ref="B78:C100" si="43">(B29/$B$70)</f>
        <v>0.22369766708177666</v>
      </c>
      <c r="C78" s="75">
        <f t="shared" si="43"/>
        <v>0.22369766708177666</v>
      </c>
      <c r="D78" s="24">
        <f t="shared" ref="D78:D100" si="44">(B78+C78)</f>
        <v>0.44739533416355332</v>
      </c>
      <c r="H78" s="24">
        <f t="shared" ref="H78:H100" si="45">(E29*F29/G29*F$7/F$9)</f>
        <v>0.9196428571428571</v>
      </c>
      <c r="I78" s="22">
        <f t="shared" ref="I78:I100" si="46">(D78*H78)</f>
        <v>0.41144392338255348</v>
      </c>
      <c r="J78" s="24">
        <f t="shared" ref="J78:J100" si="47">IF(I$24&lt;=1+I$113,I78,L78+J$25*(I78-L78))</f>
        <v>0.20348823315588893</v>
      </c>
      <c r="K78" s="22">
        <f t="shared" ref="K78:K100" si="48">(B78)</f>
        <v>0.22369766708177666</v>
      </c>
      <c r="L78" s="22">
        <f t="shared" ref="L78:L100" si="49">(K78*H78)</f>
        <v>0.20572196169127674</v>
      </c>
      <c r="M78" s="229">
        <f t="shared" si="41"/>
        <v>0.20348823315588893</v>
      </c>
      <c r="N78" s="231">
        <v>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S78" s="25"/>
      <c r="AT78" s="25"/>
      <c r="AU78" s="25"/>
      <c r="AV78" s="25"/>
      <c r="AW78" s="25"/>
      <c r="AX78" s="25"/>
      <c r="AZ78" s="25"/>
      <c r="BA78" s="25"/>
      <c r="BB78" s="25"/>
      <c r="BC78" s="25"/>
      <c r="BD78" s="25"/>
      <c r="BE78" s="25"/>
      <c r="BI78" s="25"/>
      <c r="BJ78" s="25"/>
      <c r="BK78" s="25"/>
      <c r="BL78" s="25"/>
      <c r="BM78" s="25"/>
      <c r="BN78" s="25"/>
      <c r="BP78" s="25"/>
      <c r="BQ78" s="25"/>
      <c r="BR78" s="25"/>
      <c r="BS78" s="25"/>
      <c r="BT78" s="25"/>
      <c r="BU78" s="25"/>
      <c r="BX78" s="25"/>
      <c r="BY78" s="25"/>
      <c r="BZ78" s="25"/>
      <c r="CA78" s="25"/>
      <c r="CB78" s="25"/>
      <c r="CC78" s="25"/>
      <c r="CE78" s="25"/>
      <c r="CF78" s="25"/>
      <c r="CG78" s="25"/>
      <c r="CH78" s="25"/>
      <c r="CI78" s="25"/>
      <c r="CJ78" s="25"/>
    </row>
    <row r="79" spans="1:88" ht="14" customHeight="1">
      <c r="A79" s="2" t="str">
        <f t="shared" si="42"/>
        <v>Cattle sales - local: no. sold</v>
      </c>
      <c r="B79" s="75">
        <f t="shared" si="43"/>
        <v>0.69905520963055212</v>
      </c>
      <c r="C79" s="75">
        <f t="shared" si="43"/>
        <v>0.69905520963055212</v>
      </c>
      <c r="D79" s="24">
        <f t="shared" si="44"/>
        <v>1.3981104192611042</v>
      </c>
      <c r="H79" s="24">
        <f t="shared" si="45"/>
        <v>0.99107142857142871</v>
      </c>
      <c r="I79" s="22">
        <f t="shared" si="46"/>
        <v>1.3856272905177016</v>
      </c>
      <c r="J79" s="24">
        <f t="shared" si="47"/>
        <v>0.68529107646552412</v>
      </c>
      <c r="K79" s="22">
        <f t="shared" si="48"/>
        <v>0.69905520963055212</v>
      </c>
      <c r="L79" s="22">
        <f t="shared" si="49"/>
        <v>0.69281364525885081</v>
      </c>
      <c r="M79" s="229">
        <f t="shared" si="41"/>
        <v>0.68529107646552412</v>
      </c>
      <c r="N79" s="231">
        <v>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2" t="str">
        <f t="shared" si="42"/>
        <v>Goat sales - local: no. sold</v>
      </c>
      <c r="B80" s="75">
        <f t="shared" si="43"/>
        <v>0.19573545869655459</v>
      </c>
      <c r="C80" s="75">
        <f t="shared" si="43"/>
        <v>0.19573545869655459</v>
      </c>
      <c r="D80" s="24">
        <f t="shared" si="44"/>
        <v>0.39147091739310919</v>
      </c>
      <c r="H80" s="24">
        <f t="shared" si="45"/>
        <v>0.9732142857142857</v>
      </c>
      <c r="I80" s="22">
        <f t="shared" si="46"/>
        <v>0.38098508924865088</v>
      </c>
      <c r="J80" s="24">
        <f t="shared" si="47"/>
        <v>0.18842417706061076</v>
      </c>
      <c r="K80" s="22">
        <f t="shared" si="48"/>
        <v>0.19573545869655459</v>
      </c>
      <c r="L80" s="22">
        <f t="shared" si="49"/>
        <v>0.19049254462432544</v>
      </c>
      <c r="M80" s="229">
        <f t="shared" si="41"/>
        <v>0.18842417706061076</v>
      </c>
      <c r="N80" s="231">
        <v>5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2" t="str">
        <f t="shared" si="42"/>
        <v>Sheep sales - local: no. sold</v>
      </c>
      <c r="B81" s="75">
        <f t="shared" si="43"/>
        <v>5.5924416770444164E-2</v>
      </c>
      <c r="C81" s="75">
        <f t="shared" si="43"/>
        <v>5.5924416770444164E-2</v>
      </c>
      <c r="D81" s="24">
        <f t="shared" si="44"/>
        <v>0.11184883354088833</v>
      </c>
      <c r="H81" s="24">
        <f t="shared" si="45"/>
        <v>0.9732142857142857</v>
      </c>
      <c r="I81" s="22">
        <f t="shared" si="46"/>
        <v>0.10885288264247167</v>
      </c>
      <c r="J81" s="24">
        <f t="shared" si="47"/>
        <v>5.3835479160174497E-2</v>
      </c>
      <c r="K81" s="22">
        <f t="shared" si="48"/>
        <v>5.5924416770444164E-2</v>
      </c>
      <c r="L81" s="22">
        <f t="shared" si="49"/>
        <v>5.4426441321235836E-2</v>
      </c>
      <c r="M81" s="229">
        <f t="shared" si="41"/>
        <v>5.3835479160174497E-2</v>
      </c>
      <c r="N81" s="231">
        <v>5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2" t="str">
        <f t="shared" si="42"/>
        <v>Chicken sales: no. sold</v>
      </c>
      <c r="B82" s="75">
        <f t="shared" si="43"/>
        <v>1.3981104192611041E-2</v>
      </c>
      <c r="C82" s="75">
        <f t="shared" si="43"/>
        <v>1.3981104192611041E-2</v>
      </c>
      <c r="D82" s="24">
        <f t="shared" si="44"/>
        <v>2.7962208385222082E-2</v>
      </c>
      <c r="H82" s="24">
        <f t="shared" si="45"/>
        <v>0.9732142857142857</v>
      </c>
      <c r="I82" s="22">
        <f t="shared" si="46"/>
        <v>2.7213220660617918E-2</v>
      </c>
      <c r="J82" s="24">
        <f t="shared" si="47"/>
        <v>1.3458869790043624E-2</v>
      </c>
      <c r="K82" s="22">
        <f t="shared" si="48"/>
        <v>1.3981104192611041E-2</v>
      </c>
      <c r="L82" s="22">
        <f t="shared" si="49"/>
        <v>1.3606610330308959E-2</v>
      </c>
      <c r="M82" s="229">
        <f t="shared" si="41"/>
        <v>1.3458869790043624E-2</v>
      </c>
      <c r="N82" s="231">
        <v>5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2" t="str">
        <f t="shared" si="42"/>
        <v>Maize: kg produced</v>
      </c>
      <c r="B83" s="75">
        <f t="shared" si="43"/>
        <v>0</v>
      </c>
      <c r="C83" s="75">
        <f t="shared" si="43"/>
        <v>0</v>
      </c>
      <c r="D83" s="24">
        <f t="shared" si="44"/>
        <v>0</v>
      </c>
      <c r="H83" s="24">
        <f t="shared" si="45"/>
        <v>0.9107142857142857</v>
      </c>
      <c r="I83" s="22">
        <f t="shared" si="46"/>
        <v>0</v>
      </c>
      <c r="J83" s="24">
        <f t="shared" si="47"/>
        <v>0</v>
      </c>
      <c r="K83" s="22">
        <f t="shared" si="48"/>
        <v>0</v>
      </c>
      <c r="L83" s="22">
        <f t="shared" si="49"/>
        <v>0</v>
      </c>
      <c r="M83" s="229">
        <f t="shared" si="41"/>
        <v>0</v>
      </c>
      <c r="N83" s="231">
        <v>2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>
      <c r="A84" s="2" t="str">
        <f t="shared" si="42"/>
        <v>Cowpeas: kg produced</v>
      </c>
      <c r="B84" s="75">
        <f t="shared" si="43"/>
        <v>0</v>
      </c>
      <c r="C84" s="75">
        <f t="shared" si="43"/>
        <v>0</v>
      </c>
      <c r="D84" s="24">
        <f t="shared" si="44"/>
        <v>0</v>
      </c>
      <c r="H84" s="24">
        <f t="shared" si="45"/>
        <v>0.89285714285714279</v>
      </c>
      <c r="I84" s="22">
        <f t="shared" si="46"/>
        <v>0</v>
      </c>
      <c r="J84" s="24">
        <f t="shared" si="47"/>
        <v>0</v>
      </c>
      <c r="K84" s="22">
        <f t="shared" si="48"/>
        <v>0</v>
      </c>
      <c r="L84" s="22">
        <f t="shared" si="49"/>
        <v>0</v>
      </c>
      <c r="M84" s="229">
        <f t="shared" si="41"/>
        <v>0</v>
      </c>
      <c r="N84" s="231">
        <v>2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>
      <c r="A85" s="2" t="str">
        <f t="shared" si="42"/>
        <v>Pumpkin: kg produce</v>
      </c>
      <c r="B85" s="75">
        <f t="shared" si="43"/>
        <v>0</v>
      </c>
      <c r="C85" s="75">
        <f t="shared" si="43"/>
        <v>0</v>
      </c>
      <c r="D85" s="24">
        <f t="shared" si="44"/>
        <v>0</v>
      </c>
      <c r="H85" s="24">
        <f t="shared" si="45"/>
        <v>0.98214285714285721</v>
      </c>
      <c r="I85" s="22">
        <f t="shared" si="46"/>
        <v>0</v>
      </c>
      <c r="J85" s="24">
        <f t="shared" si="47"/>
        <v>0</v>
      </c>
      <c r="K85" s="22">
        <f t="shared" si="48"/>
        <v>0</v>
      </c>
      <c r="L85" s="22">
        <f t="shared" si="49"/>
        <v>0</v>
      </c>
      <c r="M85" s="229">
        <f t="shared" si="41"/>
        <v>0</v>
      </c>
      <c r="N85" s="231">
        <v>2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2" t="str">
        <f t="shared" si="42"/>
        <v>Cabbage: number produced</v>
      </c>
      <c r="B86" s="75">
        <f t="shared" si="43"/>
        <v>2.0971656288916563E-2</v>
      </c>
      <c r="C86" s="75">
        <f t="shared" si="43"/>
        <v>2.0971656288916563E-2</v>
      </c>
      <c r="D86" s="24">
        <f t="shared" si="44"/>
        <v>4.1943312577833125E-2</v>
      </c>
      <c r="H86" s="24">
        <f t="shared" si="45"/>
        <v>0.9642857142857143</v>
      </c>
      <c r="I86" s="22">
        <f t="shared" si="46"/>
        <v>4.0445337128624803E-2</v>
      </c>
      <c r="J86" s="24">
        <f t="shared" si="47"/>
        <v>2.0003090880615301E-2</v>
      </c>
      <c r="K86" s="22">
        <f t="shared" si="48"/>
        <v>2.0971656288916563E-2</v>
      </c>
      <c r="L86" s="22">
        <f t="shared" si="49"/>
        <v>2.0222668564312402E-2</v>
      </c>
      <c r="M86" s="229">
        <f t="shared" si="41"/>
        <v>2.0003090880615301E-2</v>
      </c>
      <c r="N86" s="231">
        <v>2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2" t="str">
        <f t="shared" si="42"/>
        <v>Tomato: kg produced</v>
      </c>
      <c r="B87" s="75">
        <f t="shared" si="43"/>
        <v>0</v>
      </c>
      <c r="C87" s="75">
        <f t="shared" si="43"/>
        <v>0</v>
      </c>
      <c r="D87" s="24">
        <f t="shared" si="44"/>
        <v>0</v>
      </c>
      <c r="H87" s="24">
        <f t="shared" si="45"/>
        <v>0.83928571428571419</v>
      </c>
      <c r="I87" s="22">
        <f t="shared" si="46"/>
        <v>0</v>
      </c>
      <c r="J87" s="24">
        <f t="shared" si="47"/>
        <v>0</v>
      </c>
      <c r="K87" s="22">
        <f t="shared" si="48"/>
        <v>0</v>
      </c>
      <c r="L87" s="22">
        <f t="shared" si="49"/>
        <v>0</v>
      </c>
      <c r="M87" s="229">
        <f t="shared" si="41"/>
        <v>0</v>
      </c>
      <c r="N87" s="231">
        <v>2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4" customHeight="1">
      <c r="A88" s="2" t="str">
        <f t="shared" si="42"/>
        <v>Onions: kg produced</v>
      </c>
      <c r="B88" s="75">
        <f t="shared" si="43"/>
        <v>0</v>
      </c>
      <c r="C88" s="75">
        <f t="shared" si="43"/>
        <v>0</v>
      </c>
      <c r="D88" s="24">
        <f t="shared" si="44"/>
        <v>0</v>
      </c>
      <c r="H88" s="24">
        <f t="shared" si="45"/>
        <v>0.83035714285714279</v>
      </c>
      <c r="I88" s="22">
        <f t="shared" si="46"/>
        <v>0</v>
      </c>
      <c r="J88" s="24">
        <f t="shared" si="47"/>
        <v>0</v>
      </c>
      <c r="K88" s="22">
        <f t="shared" si="48"/>
        <v>0</v>
      </c>
      <c r="L88" s="22">
        <f t="shared" si="49"/>
        <v>0</v>
      </c>
      <c r="M88" s="229">
        <f t="shared" si="41"/>
        <v>0</v>
      </c>
      <c r="N88" s="231">
        <v>2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 t="str">
        <f t="shared" si="42"/>
        <v>Beetroot: kg produced</v>
      </c>
      <c r="B89" s="75">
        <f t="shared" si="43"/>
        <v>0</v>
      </c>
      <c r="C89" s="75">
        <f t="shared" si="43"/>
        <v>0</v>
      </c>
      <c r="D89" s="24">
        <f t="shared" si="44"/>
        <v>0</v>
      </c>
      <c r="H89" s="24">
        <f t="shared" si="45"/>
        <v>0.89285714285714279</v>
      </c>
      <c r="I89" s="22">
        <f t="shared" si="46"/>
        <v>0</v>
      </c>
      <c r="J89" s="24">
        <f t="shared" si="47"/>
        <v>0</v>
      </c>
      <c r="K89" s="22">
        <f t="shared" si="48"/>
        <v>0</v>
      </c>
      <c r="L89" s="22">
        <f t="shared" si="49"/>
        <v>0</v>
      </c>
      <c r="M89" s="229">
        <f t="shared" si="41"/>
        <v>0</v>
      </c>
      <c r="N89" s="231">
        <v>2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tr">
        <f t="shared" si="42"/>
        <v>Spinach: kg produced</v>
      </c>
      <c r="B90" s="75">
        <f t="shared" si="43"/>
        <v>0</v>
      </c>
      <c r="C90" s="75">
        <f t="shared" si="43"/>
        <v>0</v>
      </c>
      <c r="D90" s="24">
        <f t="shared" si="44"/>
        <v>0</v>
      </c>
      <c r="H90" s="24">
        <f t="shared" si="45"/>
        <v>0.9196428571428571</v>
      </c>
      <c r="I90" s="22">
        <f t="shared" si="46"/>
        <v>0</v>
      </c>
      <c r="J90" s="24">
        <f t="shared" si="47"/>
        <v>0</v>
      </c>
      <c r="K90" s="22">
        <f t="shared" si="48"/>
        <v>0</v>
      </c>
      <c r="L90" s="22">
        <f t="shared" si="49"/>
        <v>0</v>
      </c>
      <c r="M90" s="229">
        <f t="shared" si="41"/>
        <v>0</v>
      </c>
      <c r="N90" s="231">
        <v>2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si="42"/>
        <v>WILD FOODS -- see worksheet Data 3</v>
      </c>
      <c r="B91" s="75">
        <f t="shared" si="43"/>
        <v>0</v>
      </c>
      <c r="C91" s="75">
        <f t="shared" si="43"/>
        <v>0</v>
      </c>
      <c r="D91" s="24">
        <f t="shared" si="44"/>
        <v>0</v>
      </c>
      <c r="H91" s="24">
        <f t="shared" si="45"/>
        <v>0.7142857142857143</v>
      </c>
      <c r="I91" s="22">
        <f t="shared" si="46"/>
        <v>0</v>
      </c>
      <c r="J91" s="24">
        <f t="shared" si="47"/>
        <v>0</v>
      </c>
      <c r="K91" s="22">
        <f t="shared" si="48"/>
        <v>0</v>
      </c>
      <c r="L91" s="22">
        <f t="shared" si="49"/>
        <v>0</v>
      </c>
      <c r="M91" s="229">
        <f t="shared" si="41"/>
        <v>0</v>
      </c>
      <c r="N91" s="231">
        <v>6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42"/>
        <v>Agricultural cash income -- see Data2</v>
      </c>
      <c r="B92" s="75">
        <f t="shared" si="43"/>
        <v>0.1370148210875882</v>
      </c>
      <c r="C92" s="75">
        <f t="shared" si="43"/>
        <v>0.1370148210875882</v>
      </c>
      <c r="D92" s="24">
        <f t="shared" si="44"/>
        <v>0.27402964217517639</v>
      </c>
      <c r="H92" s="24">
        <f t="shared" si="45"/>
        <v>0.86223214285714289</v>
      </c>
      <c r="I92" s="22">
        <f t="shared" si="46"/>
        <v>0.23627716557907844</v>
      </c>
      <c r="J92" s="24">
        <f t="shared" si="47"/>
        <v>0.11685583435890115</v>
      </c>
      <c r="K92" s="22">
        <f t="shared" si="48"/>
        <v>0.1370148210875882</v>
      </c>
      <c r="L92" s="22">
        <f t="shared" si="49"/>
        <v>0.11813858278953922</v>
      </c>
      <c r="M92" s="229">
        <f t="shared" si="41"/>
        <v>0.11685583435890115</v>
      </c>
      <c r="N92" s="231">
        <v>7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42"/>
        <v>Domestic work cash income -- see Data2</v>
      </c>
      <c r="B93" s="75">
        <f t="shared" si="43"/>
        <v>0</v>
      </c>
      <c r="C93" s="75">
        <f t="shared" si="43"/>
        <v>0</v>
      </c>
      <c r="D93" s="24">
        <f t="shared" si="44"/>
        <v>0</v>
      </c>
      <c r="H93" s="24">
        <f t="shared" si="45"/>
        <v>0.98214285714285721</v>
      </c>
      <c r="I93" s="22">
        <f t="shared" si="46"/>
        <v>0</v>
      </c>
      <c r="J93" s="24">
        <f t="shared" si="47"/>
        <v>0</v>
      </c>
      <c r="K93" s="22">
        <f t="shared" si="48"/>
        <v>0</v>
      </c>
      <c r="L93" s="22">
        <f t="shared" si="49"/>
        <v>0</v>
      </c>
      <c r="M93" s="229">
        <f t="shared" si="41"/>
        <v>0</v>
      </c>
      <c r="N93" s="231">
        <v>7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42"/>
        <v>Formal Employment (conservancies, etc.)</v>
      </c>
      <c r="B94" s="75">
        <f t="shared" si="43"/>
        <v>5.033197509339975</v>
      </c>
      <c r="C94" s="75">
        <f t="shared" si="43"/>
        <v>5.033197509339975</v>
      </c>
      <c r="D94" s="24">
        <f t="shared" si="44"/>
        <v>10.06639501867995</v>
      </c>
      <c r="H94" s="24">
        <f t="shared" si="45"/>
        <v>0.95535714285714279</v>
      </c>
      <c r="I94" s="22">
        <f t="shared" si="46"/>
        <v>9.6170023839174519</v>
      </c>
      <c r="J94" s="24">
        <f t="shared" si="47"/>
        <v>4.756290498279637</v>
      </c>
      <c r="K94" s="22">
        <f t="shared" si="48"/>
        <v>5.033197509339975</v>
      </c>
      <c r="L94" s="22">
        <f t="shared" si="49"/>
        <v>4.8085011919587259</v>
      </c>
      <c r="M94" s="57">
        <f t="shared" si="41"/>
        <v>4.756290498279637</v>
      </c>
      <c r="N94" s="231">
        <v>8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42"/>
        <v>Self-employment -- see Data2</v>
      </c>
      <c r="B95" s="75">
        <f t="shared" si="43"/>
        <v>0.5033197509339975</v>
      </c>
      <c r="C95" s="75">
        <f t="shared" si="43"/>
        <v>0.5033197509339975</v>
      </c>
      <c r="D95" s="24">
        <f t="shared" si="44"/>
        <v>1.006639501867995</v>
      </c>
      <c r="H95" s="24">
        <f t="shared" si="45"/>
        <v>0.98214285714285721</v>
      </c>
      <c r="I95" s="22">
        <f t="shared" si="46"/>
        <v>0.98866379647749514</v>
      </c>
      <c r="J95" s="24">
        <f t="shared" si="47"/>
        <v>0.48896444374837394</v>
      </c>
      <c r="K95" s="22">
        <f t="shared" si="48"/>
        <v>0.5033197509339975</v>
      </c>
      <c r="L95" s="22">
        <f t="shared" si="49"/>
        <v>0.49433189823874757</v>
      </c>
      <c r="M95" s="57">
        <f t="shared" si="41"/>
        <v>0.48896444374837394</v>
      </c>
      <c r="N95" s="231">
        <v>10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42"/>
        <v>Small business -- see Data2</v>
      </c>
      <c r="B96" s="75">
        <f t="shared" si="43"/>
        <v>1.006639501867995</v>
      </c>
      <c r="C96" s="75">
        <f t="shared" si="43"/>
        <v>1.006639501867995</v>
      </c>
      <c r="D96" s="24">
        <f t="shared" si="44"/>
        <v>2.01327900373599</v>
      </c>
      <c r="H96" s="24">
        <f t="shared" si="45"/>
        <v>0.9375</v>
      </c>
      <c r="I96" s="22">
        <f t="shared" si="46"/>
        <v>1.8874490660024907</v>
      </c>
      <c r="J96" s="24">
        <f t="shared" si="47"/>
        <v>0.93347757442871393</v>
      </c>
      <c r="K96" s="22">
        <f t="shared" si="48"/>
        <v>1.006639501867995</v>
      </c>
      <c r="L96" s="22">
        <f t="shared" si="49"/>
        <v>0.94372453300124537</v>
      </c>
      <c r="M96" s="57">
        <f t="shared" si="41"/>
        <v>0.93347757442871393</v>
      </c>
      <c r="N96" s="231">
        <v>11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42"/>
        <v>Social Cash Transfers -- see Data2</v>
      </c>
      <c r="B97" s="75">
        <f t="shared" si="43"/>
        <v>1.1295227891608999</v>
      </c>
      <c r="C97" s="75">
        <f t="shared" si="43"/>
        <v>1.1295227891608999</v>
      </c>
      <c r="D97" s="24">
        <f t="shared" si="44"/>
        <v>2.2590455783217998</v>
      </c>
      <c r="H97" s="24">
        <f t="shared" si="45"/>
        <v>0.99107142857142871</v>
      </c>
      <c r="I97" s="22">
        <f t="shared" si="46"/>
        <v>2.2388755285153557</v>
      </c>
      <c r="J97" s="24">
        <f t="shared" si="47"/>
        <v>1.1072829118682883</v>
      </c>
      <c r="K97" s="22">
        <f t="shared" si="48"/>
        <v>1.1295227891608999</v>
      </c>
      <c r="L97" s="22">
        <f t="shared" si="49"/>
        <v>1.1194377642576778</v>
      </c>
      <c r="M97" s="57">
        <f t="shared" si="41"/>
        <v>1.1072829118682883</v>
      </c>
      <c r="N97" s="231">
        <v>14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42"/>
        <v>Public works -- see Data2</v>
      </c>
      <c r="B98" s="75">
        <f t="shared" si="43"/>
        <v>0</v>
      </c>
      <c r="C98" s="75">
        <f t="shared" si="43"/>
        <v>0</v>
      </c>
      <c r="D98" s="24">
        <f t="shared" si="44"/>
        <v>0</v>
      </c>
      <c r="H98" s="24">
        <f t="shared" si="45"/>
        <v>0.95535714285714279</v>
      </c>
      <c r="I98" s="22">
        <f t="shared" si="46"/>
        <v>0</v>
      </c>
      <c r="J98" s="24">
        <f t="shared" si="47"/>
        <v>0</v>
      </c>
      <c r="K98" s="22">
        <f t="shared" si="48"/>
        <v>0</v>
      </c>
      <c r="L98" s="22">
        <f t="shared" si="49"/>
        <v>0</v>
      </c>
      <c r="M98" s="57">
        <f t="shared" si="41"/>
        <v>0</v>
      </c>
      <c r="N98" s="231">
        <v>9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42"/>
        <v>Other income: e.g. Credit (cotton loans)</v>
      </c>
      <c r="B99" s="75">
        <f t="shared" si="43"/>
        <v>0</v>
      </c>
      <c r="C99" s="75">
        <f t="shared" si="43"/>
        <v>0</v>
      </c>
      <c r="D99" s="24">
        <f t="shared" si="44"/>
        <v>0</v>
      </c>
      <c r="H99" s="24">
        <f t="shared" si="45"/>
        <v>0.89285714285714279</v>
      </c>
      <c r="I99" s="22">
        <f t="shared" si="46"/>
        <v>0</v>
      </c>
      <c r="J99" s="24">
        <f t="shared" si="47"/>
        <v>0</v>
      </c>
      <c r="K99" s="22">
        <f t="shared" si="48"/>
        <v>0</v>
      </c>
      <c r="L99" s="22">
        <f t="shared" si="49"/>
        <v>0</v>
      </c>
      <c r="M99" s="57">
        <f t="shared" si="41"/>
        <v>0</v>
      </c>
      <c r="N99" s="231">
        <v>16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42"/>
        <v>Remittances: no. times per year</v>
      </c>
      <c r="B100" s="75">
        <f t="shared" si="43"/>
        <v>3.35546500622665</v>
      </c>
      <c r="C100" s="75">
        <f t="shared" si="43"/>
        <v>3.35546500622665</v>
      </c>
      <c r="D100" s="24">
        <f t="shared" si="44"/>
        <v>6.7109300124533</v>
      </c>
      <c r="H100" s="24">
        <f t="shared" si="45"/>
        <v>0.9375</v>
      </c>
      <c r="I100" s="22">
        <f t="shared" si="46"/>
        <v>6.2914968866749685</v>
      </c>
      <c r="J100" s="24">
        <f t="shared" si="47"/>
        <v>3.1115919147623794</v>
      </c>
      <c r="K100" s="22">
        <f t="shared" si="48"/>
        <v>3.35546500622665</v>
      </c>
      <c r="L100" s="22">
        <f t="shared" si="49"/>
        <v>3.1457484433374843</v>
      </c>
      <c r="M100" s="57">
        <f t="shared" si="41"/>
        <v>3.1115919147623794</v>
      </c>
      <c r="N100" s="231">
        <v>15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">
        <v>33</v>
      </c>
      <c r="B101" s="22">
        <f>SUM(B78:B100)</f>
        <v>12.374524891277959</v>
      </c>
      <c r="C101" s="22">
        <f>SUM(C78:C100)</f>
        <v>12.374524891277959</v>
      </c>
      <c r="D101" s="24">
        <f>SUM(D78:D100)</f>
        <v>24.749049782555918</v>
      </c>
      <c r="E101" s="22"/>
      <c r="F101" s="2"/>
      <c r="G101" s="2"/>
      <c r="H101" s="31"/>
      <c r="I101" s="22">
        <f>SUM(I78:I100)</f>
        <v>23.614332570747457</v>
      </c>
      <c r="J101" s="24">
        <f>SUM(J78:J100)</f>
        <v>11.678964103959153</v>
      </c>
      <c r="K101" s="22">
        <f>SUM(K78:K100)</f>
        <v>12.374524891277959</v>
      </c>
      <c r="L101" s="22">
        <f>SUM(L78:L100)</f>
        <v>11.807166285373729</v>
      </c>
      <c r="M101" s="57">
        <f t="shared" si="41"/>
        <v>11.678964103959153</v>
      </c>
      <c r="N101" s="58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83"/>
      <c r="B102" s="83"/>
      <c r="C102" s="83"/>
      <c r="D102" s="10"/>
      <c r="E102" s="11"/>
      <c r="F102" s="11"/>
      <c r="G102" s="11"/>
      <c r="H102" s="10"/>
      <c r="I102" s="11"/>
      <c r="J102" s="62"/>
      <c r="K102" s="14"/>
      <c r="L102" s="11"/>
      <c r="M102" s="63"/>
      <c r="N102" s="58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>
      <c r="A103" s="73" t="str">
        <f>A54</f>
        <v>Expenditure : Middle HHs</v>
      </c>
      <c r="B103" s="2"/>
      <c r="C103" s="2"/>
      <c r="D103" s="31"/>
      <c r="E103" s="2"/>
      <c r="F103" s="2"/>
      <c r="G103" s="2"/>
      <c r="H103" s="31"/>
      <c r="I103" s="22"/>
      <c r="J103" s="18"/>
      <c r="L103" s="2"/>
      <c r="M103" s="57"/>
      <c r="N103" s="58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2"/>
      <c r="AC103" s="2"/>
      <c r="AD103" s="2"/>
      <c r="AE103" s="2"/>
      <c r="AF103" s="2"/>
      <c r="AG103" s="2"/>
      <c r="AM103" s="21"/>
      <c r="AN103" s="21"/>
      <c r="AO103" s="21"/>
      <c r="AV103" s="21"/>
      <c r="AW103" s="21"/>
      <c r="AX103" s="21"/>
      <c r="BC103" s="21"/>
      <c r="BD103" s="21"/>
      <c r="BE103" s="21"/>
      <c r="BL103" s="21"/>
      <c r="BM103" s="21"/>
      <c r="BN103" s="21"/>
      <c r="BS103" s="21"/>
      <c r="BT103" s="21"/>
      <c r="BU103" s="21"/>
      <c r="CA103" s="21"/>
      <c r="CB103" s="21"/>
      <c r="CC103" s="21"/>
      <c r="CH103" s="21"/>
      <c r="CI103" s="21"/>
      <c r="CJ103" s="21"/>
    </row>
    <row r="104" spans="1:88" ht="14" customHeight="1">
      <c r="A104" s="84"/>
      <c r="B104" s="19" t="s">
        <v>7</v>
      </c>
      <c r="C104" s="2"/>
      <c r="D104" s="16"/>
      <c r="H104" s="16" t="s">
        <v>12</v>
      </c>
      <c r="I104" s="19" t="s">
        <v>13</v>
      </c>
      <c r="J104" s="16" t="s">
        <v>14</v>
      </c>
      <c r="K104" s="19" t="s">
        <v>7</v>
      </c>
      <c r="L104" s="19" t="s">
        <v>15</v>
      </c>
      <c r="M104" s="57" t="str">
        <f t="shared" ref="M104:M112" si="50">(J104)</f>
        <v>Curr.</v>
      </c>
      <c r="N104" s="58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">
        <v>46</v>
      </c>
      <c r="B105" s="19" t="s">
        <v>36</v>
      </c>
      <c r="C105" s="2"/>
      <c r="D105" s="31"/>
      <c r="H105" s="16" t="s">
        <v>18</v>
      </c>
      <c r="I105" s="19" t="s">
        <v>36</v>
      </c>
      <c r="J105" s="16" t="s">
        <v>36</v>
      </c>
      <c r="K105" s="19" t="s">
        <v>36</v>
      </c>
      <c r="L105" s="19" t="s">
        <v>20</v>
      </c>
      <c r="M105" s="57" t="str">
        <f t="shared" si="50"/>
        <v>Expend</v>
      </c>
      <c r="N105" s="5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2"/>
      <c r="AC105" s="2"/>
      <c r="AD105" s="2"/>
      <c r="AE105" s="2"/>
      <c r="AF105" s="2"/>
      <c r="AG105" s="2"/>
    </row>
    <row r="106" spans="1:88" ht="14" customHeight="1">
      <c r="A106" s="64" t="s">
        <v>135</v>
      </c>
      <c r="B106" s="75">
        <f>B57/B70</f>
        <v>1.8842676655186643</v>
      </c>
      <c r="C106" s="2"/>
      <c r="D106" s="24"/>
      <c r="H106" s="24">
        <f>(E57*F57/G$29*F$7/F$9)</f>
        <v>1.0178571428571426</v>
      </c>
      <c r="I106" s="22">
        <f>IF(SUMPRODUCT($B$106:$B106,$H$106:$H106)&lt;I$101,($B106*$H106),I$101)</f>
        <v>1.9179153024029256</v>
      </c>
      <c r="J106" s="236">
        <f>IF(SUMPRODUCT($B$106:$B106,$H$106:$H106)&lt;J$101,($B106*$H106),J$101)</f>
        <v>1.9179153024029256</v>
      </c>
      <c r="K106" s="22">
        <f>(B106)</f>
        <v>1.8842676655186643</v>
      </c>
      <c r="L106" s="22">
        <f>IF(SUMPRODUCT($B$106:$B106,$H$106:$H106)&lt;L$101,($B106*$H106),L$101)</f>
        <v>1.9179153024029256</v>
      </c>
      <c r="M106" s="57">
        <f t="shared" si="50"/>
        <v>1.9179153024029256</v>
      </c>
      <c r="N106" s="58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2"/>
      <c r="AC106" s="2"/>
      <c r="AD106" s="2"/>
      <c r="AE106" s="2"/>
      <c r="AF106" s="2"/>
      <c r="AG106" s="2"/>
    </row>
    <row r="107" spans="1:88" ht="14" customHeight="1">
      <c r="A107" s="64" t="s">
        <v>137</v>
      </c>
      <c r="B107" s="75">
        <f>B58/B$70</f>
        <v>1.6335522138646741</v>
      </c>
      <c r="C107" s="2"/>
      <c r="D107" s="24"/>
      <c r="H107" s="24">
        <f>(E58*F58/G$29*F$7/F$9)</f>
        <v>0.99107142857142871</v>
      </c>
      <c r="I107" s="22">
        <f>IF(SUMPRODUCT($B$106:$B107,$H$106:$H107)&lt;I$101,($B107*$H107),IF(SUMPRODUCT($B$106:$B106,$H$106:$H106)&lt;I$101,I$101-SUMPRODUCT($B$106:$B106,$H$106:$H106),0))</f>
        <v>1.6189669262408826</v>
      </c>
      <c r="J107" s="236">
        <f>IF(SUMPRODUCT($B$106:$B107,$H$106:$H107)&lt;J$101,($B107*$H107),IF(SUMPRODUCT($B$106:$B106,$H$106:$H106)&lt;J$101,J$101-SUMPRODUCT($B$106:$B106,$H$106:$H106),0))</f>
        <v>1.6189669262408826</v>
      </c>
      <c r="K107" s="22">
        <f>(B107)</f>
        <v>1.6335522138646741</v>
      </c>
      <c r="L107" s="22">
        <f>IF(SUMPRODUCT($B$106:$B107,$H$106:$H107)&lt;L$101,($B107*$H107),IF(SUMPRODUCT($B$106:$B106,$H$106:$H106)&lt;L$101,L$101-SUMPRODUCT($B$106:$B106,$H$106:$H106),0))</f>
        <v>1.6189669262408826</v>
      </c>
      <c r="M107" s="57">
        <f t="shared" si="50"/>
        <v>1.6189669262408826</v>
      </c>
      <c r="N107" s="58"/>
      <c r="Q107" s="2"/>
      <c r="R107" s="22"/>
      <c r="S107" s="2"/>
      <c r="T107" s="2"/>
      <c r="U107" s="2"/>
      <c r="V107" s="2"/>
      <c r="W107" s="2"/>
      <c r="X107" s="2"/>
      <c r="Y107" s="2"/>
      <c r="Z107" s="2"/>
      <c r="AA107" s="2"/>
      <c r="AB107" s="22"/>
      <c r="AC107" s="2"/>
      <c r="AD107" s="2"/>
      <c r="AE107" s="2"/>
      <c r="AF107" s="2"/>
      <c r="AG107" s="2"/>
    </row>
    <row r="108" spans="1:88" ht="14" customHeight="1">
      <c r="A108" s="64" t="s">
        <v>138</v>
      </c>
      <c r="B108" s="75">
        <f>B59/B$70</f>
        <v>2.9091881603985055</v>
      </c>
      <c r="C108" s="2"/>
      <c r="D108" s="24"/>
      <c r="H108" s="24">
        <f t="shared" ref="H108:H109" si="51">(E59*F59/G$29*F$7/F$9)</f>
        <v>0.99107142857142871</v>
      </c>
      <c r="I108" s="22">
        <f>IF(SUMPRODUCT($B$106:$B108,$H$106:$H108)&lt;(I$101-I$110),($B108*$H108),IF(SUMPRODUCT($B$106:$B107,$H$106:$H107)&lt;(I$101-I$110),I$101-I$110-SUMPRODUCT($B$106:$B107,$H$106:$H107),0))</f>
        <v>0</v>
      </c>
      <c r="J108" s="236">
        <f>IF(SUMPRODUCT($B$106:$B108,$H$106:$H108)&lt;(J$101-J$110),($B108*$H108),IF(SUMPRODUCT($B$106:$B107,$H$106:$H107)&lt;(J$101-J$110),J$101-J$110-SUMPRODUCT($B$106:$B107,$H$106:$H107),0))</f>
        <v>2.8832132661092333</v>
      </c>
      <c r="K108" s="22">
        <f t="shared" ref="K108:K109" si="52">(B108)</f>
        <v>2.9091881603985055</v>
      </c>
      <c r="L108" s="22">
        <f>IF(SUMPRODUCT($B$106:$B108,$H$106:$H108)&lt;(L$101-L$110),($B108*$H108),IF(SUMPRODUCT($B$106:$B107,$H$106:$H107)&lt;(L$101-L$110),L$101-L$110-SUMPRODUCT($B$106:$B107,$H$106:$H107),0))</f>
        <v>2.8832132661092333</v>
      </c>
      <c r="M108" s="57">
        <f t="shared" si="50"/>
        <v>2.8832132661092333</v>
      </c>
      <c r="N108" s="58"/>
      <c r="Q108" s="2"/>
      <c r="R108" s="22"/>
      <c r="S108" s="2"/>
      <c r="T108" s="2"/>
      <c r="U108" s="2"/>
      <c r="V108" s="2"/>
      <c r="W108" s="2"/>
      <c r="X108" s="2"/>
      <c r="Y108" s="2"/>
      <c r="Z108" s="2"/>
      <c r="AA108" s="2"/>
      <c r="AB108" s="22"/>
      <c r="AC108" s="2"/>
      <c r="AD108" s="2"/>
      <c r="AE108" s="2"/>
      <c r="AF108" s="2"/>
      <c r="AG108" s="2"/>
    </row>
    <row r="109" spans="1:88" ht="14" customHeight="1">
      <c r="A109" s="64" t="s">
        <v>139</v>
      </c>
      <c r="B109" s="75">
        <f>B60/B$70</f>
        <v>3.1345635599833956</v>
      </c>
      <c r="C109" s="2"/>
      <c r="D109" s="24"/>
      <c r="H109" s="24">
        <f t="shared" si="51"/>
        <v>0.99107142857142871</v>
      </c>
      <c r="I109" s="22">
        <f>IF(SUMPRODUCT($B$106:$B109,$H$106:$H109)&lt;(I$101-I$110),($B109*$H109),IF(SUMPRODUCT($B$106:$B108,$H$106:$H108)&lt;(I$101-I110),I$101-I$110-SUMPRODUCT($B$106:$B108,$H$106:$H108),0))</f>
        <v>0</v>
      </c>
      <c r="J109" s="236">
        <f>IF(SUMPRODUCT($B$106:$B109,$H$106:$H109)&lt;(J$101-J$110),($B109*$H109),IF(SUMPRODUCT($B$106:$B108,$H$106:$H108)&lt;(J$101-J110),J$101-J$110-SUMPRODUCT($B$106:$B108,$H$106:$H108),0))</f>
        <v>3.1065763853406874</v>
      </c>
      <c r="K109" s="22">
        <f t="shared" si="52"/>
        <v>3.1345635599833956</v>
      </c>
      <c r="L109" s="22">
        <f>IF(SUMPRODUCT($B$106:$B109,$H$106:$H109)&lt;(L$101-L$110),($B109*$H109),IF(SUMPRODUCT($B$106:$B108,$H$106:$H108)&lt;(L$101-L110),L$101-L$110-SUMPRODUCT($B$106:$B108,$H$106:$H108),0))</f>
        <v>3.1065763853406874</v>
      </c>
      <c r="M109" s="57">
        <f t="shared" si="50"/>
        <v>3.1065763853406874</v>
      </c>
      <c r="N109" s="58"/>
      <c r="Q109" s="2"/>
      <c r="R109" s="22"/>
      <c r="S109" s="2"/>
      <c r="T109" s="2"/>
      <c r="U109" s="2"/>
      <c r="V109" s="2"/>
      <c r="W109" s="2"/>
      <c r="X109" s="2"/>
      <c r="Y109" s="2"/>
      <c r="Z109" s="2"/>
      <c r="AA109" s="2"/>
      <c r="AB109" s="22"/>
      <c r="AC109" s="2"/>
      <c r="AD109" s="2"/>
      <c r="AE109" s="2"/>
      <c r="AF109" s="2"/>
      <c r="AG109" s="2"/>
    </row>
    <row r="110" spans="1:88" ht="14" customHeight="1">
      <c r="A110" s="56" t="s">
        <v>37</v>
      </c>
      <c r="B110" s="22">
        <f>(B22)</f>
        <v>0.55063632627646331</v>
      </c>
      <c r="C110" s="2"/>
      <c r="D110" s="31"/>
      <c r="E110" s="2"/>
      <c r="F110" s="2"/>
      <c r="G110" s="2"/>
      <c r="H110" s="24"/>
      <c r="I110" s="22">
        <f>(I22)</f>
        <v>21.696417268344533</v>
      </c>
      <c r="J110" s="237">
        <f>(J22)</f>
        <v>0.55776550954051918</v>
      </c>
      <c r="K110" s="22">
        <f>(B110)</f>
        <v>0.55063632627646331</v>
      </c>
      <c r="L110" s="22">
        <f>IF(L106=L101,0,(L101-L106)/(B101-B106)*K110)</f>
        <v>0.51908935250105892</v>
      </c>
      <c r="M110" s="57">
        <f t="shared" si="50"/>
        <v>0.55776550954051918</v>
      </c>
      <c r="N110" s="5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2"/>
      <c r="AC110" s="2"/>
      <c r="AD110" s="2"/>
      <c r="AE110" s="2"/>
      <c r="AF110" s="2"/>
      <c r="AG110" s="2"/>
    </row>
    <row r="111" spans="1:88" ht="14" customHeight="1">
      <c r="A111" s="56" t="s">
        <v>57</v>
      </c>
      <c r="B111" s="29">
        <f>(B112-B106-B107-B108-B109-B110)</f>
        <v>2.2623169652362574</v>
      </c>
      <c r="C111" s="2"/>
      <c r="D111" s="31"/>
      <c r="E111" s="2"/>
      <c r="F111" s="2"/>
      <c r="G111" s="2"/>
      <c r="H111" s="24"/>
      <c r="I111" s="22"/>
      <c r="J111" s="237">
        <f>(J112-J106-J107-J108-J109-J110)</f>
        <v>1.5945267143249044</v>
      </c>
      <c r="K111" s="22">
        <f>(B111)</f>
        <v>2.2623169652362574</v>
      </c>
      <c r="L111" s="75">
        <f>(L112-L106-L107-L108-L109-L110)</f>
        <v>1.7614050527789404</v>
      </c>
      <c r="M111" s="57">
        <f t="shared" si="50"/>
        <v>1.5945267143249044</v>
      </c>
      <c r="N111" s="5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2"/>
      <c r="AC111" s="2"/>
      <c r="AD111" s="2"/>
      <c r="AE111" s="2"/>
      <c r="AF111" s="2"/>
      <c r="AG111" s="2"/>
    </row>
    <row r="112" spans="1:88" ht="14" customHeight="1">
      <c r="A112" s="2" t="s">
        <v>33</v>
      </c>
      <c r="B112" s="22">
        <f>(B101)</f>
        <v>12.374524891277959</v>
      </c>
      <c r="C112" s="2"/>
      <c r="D112" s="31"/>
      <c r="E112" s="2"/>
      <c r="F112" s="2"/>
      <c r="G112" s="2"/>
      <c r="H112" s="24"/>
      <c r="I112" s="22">
        <f>(I101)</f>
        <v>23.614332570747457</v>
      </c>
      <c r="J112" s="237">
        <f>(J101)</f>
        <v>11.678964103959153</v>
      </c>
      <c r="K112" s="22">
        <f>(B112)</f>
        <v>12.374524891277959</v>
      </c>
      <c r="L112" s="22">
        <f>(L101)</f>
        <v>11.807166285373729</v>
      </c>
      <c r="M112" s="57">
        <f t="shared" si="50"/>
        <v>11.678964103959153</v>
      </c>
      <c r="N112" s="5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2"/>
      <c r="AC112" s="2"/>
      <c r="AD112" s="2"/>
      <c r="AE112" s="2"/>
      <c r="AF112" s="2"/>
      <c r="AG112" s="2"/>
    </row>
    <row r="113" spans="1:33" ht="14" customHeight="1">
      <c r="A113" s="2" t="s">
        <v>38</v>
      </c>
      <c r="B113" s="22"/>
      <c r="C113" s="2"/>
      <c r="D113" s="31"/>
      <c r="E113" s="2"/>
      <c r="F113" s="2"/>
      <c r="G113" s="2"/>
      <c r="H113" s="24"/>
      <c r="I113" s="22">
        <f>IF(SUMPRODUCT($B106:$B109,$H106:$H109)&gt;(I101-I110),SUMPRODUCT($B106:$B109,$H106:$H109)+I110-I101,0)</f>
        <v>7.608756577690805</v>
      </c>
      <c r="J113" s="236">
        <f>IF(SUMPRODUCT($B106:$B109,$H106:$H109)&gt;(J101-J110),SUMPRODUCT($B106:$B109,$H106:$H109)+J110-J101,0)</f>
        <v>0</v>
      </c>
      <c r="K113" s="22"/>
      <c r="L113" s="22">
        <f>I113-(SUM(L108:L109))</f>
        <v>1.6189669262408843</v>
      </c>
      <c r="M113" s="236">
        <f>I113-(SUM(M108:M109))</f>
        <v>1.6189669262408843</v>
      </c>
      <c r="N113" s="5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2"/>
      <c r="AC113" s="2"/>
      <c r="AD113" s="2"/>
      <c r="AE113" s="2"/>
      <c r="AF113" s="2"/>
      <c r="AG113" s="2"/>
    </row>
    <row r="114" spans="1:33" ht="14" customHeight="1">
      <c r="A114" s="14"/>
      <c r="B114" s="14"/>
      <c r="C114" s="14"/>
      <c r="D114" s="12"/>
      <c r="E114" s="14"/>
      <c r="F114" s="14"/>
      <c r="G114" s="14"/>
      <c r="H114" s="12"/>
      <c r="I114" s="14"/>
      <c r="J114" s="12"/>
      <c r="K114" s="14"/>
      <c r="L114" s="14"/>
      <c r="M114" s="66"/>
      <c r="N114" s="58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L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B125" s="22"/>
      <c r="C125" s="22"/>
      <c r="D125" s="2"/>
      <c r="E125" s="2"/>
      <c r="F125" s="2"/>
      <c r="G125" s="2"/>
      <c r="H125" s="2"/>
      <c r="I125" s="22"/>
      <c r="J125" s="2"/>
      <c r="L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68"/>
      <c r="AC125" s="2"/>
      <c r="AD125" s="2"/>
      <c r="AE125" s="2"/>
      <c r="AF125" s="2"/>
      <c r="AG125" s="2"/>
    </row>
    <row r="126" spans="1:33">
      <c r="B126" s="22"/>
      <c r="C126" s="22"/>
      <c r="D126" s="2"/>
      <c r="E126" s="2"/>
      <c r="F126" s="2"/>
      <c r="G126" s="2"/>
      <c r="H126" s="2"/>
      <c r="I126" s="2"/>
      <c r="J126" s="2"/>
      <c r="L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68"/>
      <c r="AC126" s="2"/>
      <c r="AD126" s="2"/>
      <c r="AE126" s="2"/>
      <c r="AF126" s="2"/>
      <c r="AG126" s="2"/>
    </row>
    <row r="127" spans="1:33">
      <c r="B127" s="22"/>
      <c r="C127" s="22"/>
      <c r="D127" s="2"/>
      <c r="E127" s="2"/>
      <c r="F127" s="2"/>
      <c r="G127" s="2"/>
      <c r="H127" s="2"/>
      <c r="I127" s="22"/>
      <c r="J127" s="2"/>
      <c r="L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68"/>
      <c r="AC127" s="2"/>
      <c r="AD127" s="2"/>
      <c r="AE127" s="2"/>
      <c r="AF127" s="2"/>
      <c r="AG127" s="2"/>
    </row>
    <row r="128" spans="1:33">
      <c r="B128" s="2"/>
      <c r="C128" s="2"/>
      <c r="D128" s="2"/>
      <c r="E128" s="2"/>
      <c r="F128" s="2"/>
      <c r="G128" s="2"/>
      <c r="H128" s="2"/>
      <c r="I128" s="2"/>
      <c r="J128" s="2"/>
      <c r="L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68"/>
      <c r="AC128" s="2"/>
      <c r="AD128" s="2"/>
      <c r="AE128" s="2"/>
      <c r="AF128" s="2"/>
      <c r="AG128" s="2"/>
    </row>
    <row r="129" spans="1:33">
      <c r="B129" s="22"/>
      <c r="C129" s="22"/>
      <c r="D129" s="2"/>
      <c r="E129" s="2"/>
      <c r="F129" s="2"/>
      <c r="G129" s="2"/>
      <c r="H129" s="2"/>
      <c r="I129" s="2"/>
      <c r="J129" s="2"/>
      <c r="L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68"/>
      <c r="AC129" s="2"/>
      <c r="AD129" s="2"/>
      <c r="AE129" s="2"/>
      <c r="AF129" s="2"/>
      <c r="AG129" s="2"/>
    </row>
    <row r="130" spans="1:33">
      <c r="B130" s="22"/>
      <c r="C130" s="22"/>
      <c r="D130" s="2"/>
      <c r="E130" s="2"/>
      <c r="F130" s="2"/>
      <c r="G130" s="2"/>
      <c r="H130" s="2"/>
      <c r="I130" s="2"/>
      <c r="J130" s="2"/>
      <c r="L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68"/>
      <c r="AC130" s="2"/>
      <c r="AD130" s="2"/>
      <c r="AE130" s="2"/>
      <c r="AF130" s="2"/>
      <c r="AG130" s="2"/>
    </row>
    <row r="131" spans="1:33">
      <c r="B131" s="22"/>
      <c r="C131" s="22"/>
      <c r="D131" s="2"/>
      <c r="E131" s="2"/>
      <c r="F131" s="2"/>
      <c r="G131" s="2"/>
      <c r="H131" s="2"/>
      <c r="I131" s="2"/>
      <c r="J131" s="2"/>
      <c r="L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68"/>
      <c r="AC131" s="2"/>
      <c r="AD131" s="2"/>
      <c r="AE131" s="2"/>
      <c r="AF131" s="2"/>
      <c r="AG131" s="2"/>
    </row>
    <row r="132" spans="1:33">
      <c r="B132" s="22"/>
      <c r="C132" s="22"/>
      <c r="D132" s="2"/>
      <c r="E132" s="2"/>
      <c r="F132" s="2"/>
      <c r="G132" s="2"/>
      <c r="H132" s="2"/>
      <c r="I132" s="2"/>
      <c r="J132" s="2"/>
      <c r="L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68"/>
      <c r="AC132" s="2"/>
      <c r="AD132" s="2"/>
      <c r="AE132" s="2"/>
      <c r="AF132" s="2"/>
      <c r="AG132" s="2"/>
    </row>
    <row r="133" spans="1:33">
      <c r="B133" s="22"/>
      <c r="C133" s="22"/>
      <c r="D133" s="2"/>
      <c r="E133" s="2"/>
      <c r="F133" s="2"/>
      <c r="G133" s="2"/>
      <c r="H133" s="2"/>
      <c r="I133" s="2"/>
      <c r="J133" s="2"/>
      <c r="L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68"/>
      <c r="AC133" s="2"/>
      <c r="AD133" s="2"/>
      <c r="AE133" s="2"/>
      <c r="AF133" s="2"/>
      <c r="AG133" s="2"/>
    </row>
    <row r="134" spans="1:33">
      <c r="B134" s="22"/>
      <c r="C134" s="22"/>
      <c r="D134" s="2"/>
      <c r="E134" s="2"/>
      <c r="F134" s="2"/>
      <c r="G134" s="2"/>
      <c r="H134" s="2"/>
      <c r="I134" s="2"/>
      <c r="J134" s="2"/>
      <c r="L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68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L135" s="2"/>
      <c r="O135" s="2"/>
      <c r="P135" s="2"/>
      <c r="Q135" s="2"/>
      <c r="R135" s="2"/>
      <c r="S135" s="2"/>
      <c r="T135" s="2"/>
      <c r="U135" s="2"/>
      <c r="V135" s="2"/>
      <c r="W135" s="69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3"/>
      <c r="B136" s="2"/>
      <c r="C136" s="2"/>
      <c r="D136" s="2"/>
      <c r="E136" s="2"/>
      <c r="F136" s="2"/>
      <c r="H136" s="2"/>
      <c r="I136" s="2"/>
      <c r="J136" s="2"/>
      <c r="L136" s="2"/>
      <c r="W136" s="71"/>
    </row>
    <row r="137" spans="1:33">
      <c r="A137" s="2"/>
      <c r="B137" s="2"/>
      <c r="C137" s="2"/>
      <c r="D137" s="2"/>
      <c r="E137" s="2"/>
      <c r="F137" s="2"/>
      <c r="H137" s="2"/>
      <c r="I137" s="2"/>
      <c r="J137" s="2"/>
      <c r="L137" s="2"/>
      <c r="W137" s="71"/>
    </row>
    <row r="138" spans="1:33">
      <c r="A138" s="2"/>
      <c r="B138" s="2"/>
      <c r="C138" s="2"/>
      <c r="D138" s="2"/>
      <c r="E138" s="2"/>
      <c r="F138" s="2"/>
      <c r="H138" s="2"/>
      <c r="I138" s="2"/>
      <c r="J138" s="2"/>
      <c r="L138" s="2"/>
      <c r="W138" s="71"/>
    </row>
    <row r="139" spans="1:33">
      <c r="A139" s="22"/>
      <c r="B139" s="2"/>
      <c r="C139" s="2"/>
      <c r="D139" s="2"/>
      <c r="E139" s="2"/>
      <c r="F139" s="2"/>
      <c r="H139" s="2"/>
      <c r="I139" s="2"/>
      <c r="J139" s="2"/>
      <c r="L139" s="2"/>
      <c r="W139" s="71"/>
    </row>
    <row r="140" spans="1:33">
      <c r="A140" s="2"/>
      <c r="B140" s="2"/>
      <c r="C140" s="2"/>
      <c r="D140" s="2"/>
      <c r="E140" s="2"/>
      <c r="F140" s="2"/>
      <c r="H140" s="2"/>
      <c r="I140" s="2"/>
      <c r="J140" s="2"/>
      <c r="L140" s="2"/>
      <c r="W140" s="71"/>
    </row>
    <row r="141" spans="1:33">
      <c r="A141" s="2"/>
      <c r="B141" s="2"/>
      <c r="C141" s="2"/>
      <c r="D141" s="2"/>
      <c r="E141" s="2"/>
      <c r="F141" s="2"/>
      <c r="H141" s="2"/>
      <c r="I141" s="2"/>
      <c r="J141" s="2"/>
      <c r="L141" s="2"/>
    </row>
    <row r="142" spans="1:33">
      <c r="A142" s="2"/>
      <c r="B142" s="2"/>
      <c r="C142" s="2"/>
      <c r="D142" s="2"/>
      <c r="E142" s="2"/>
      <c r="F142" s="2"/>
      <c r="H142" s="2"/>
      <c r="I142" s="2"/>
      <c r="J142" s="2"/>
      <c r="L142" s="2"/>
    </row>
    <row r="143" spans="1:33">
      <c r="A143" s="2"/>
      <c r="B143" s="2"/>
      <c r="C143" s="2"/>
      <c r="D143" s="2"/>
      <c r="E143" s="2"/>
      <c r="F143" s="2"/>
      <c r="H143" s="2"/>
      <c r="I143" s="2"/>
      <c r="J143" s="2"/>
      <c r="L143" s="2"/>
      <c r="AB143" s="71"/>
    </row>
    <row r="144" spans="1:33">
      <c r="A144" s="2"/>
      <c r="B144" s="2"/>
      <c r="C144" s="2"/>
      <c r="D144" s="2"/>
      <c r="E144" s="2"/>
      <c r="F144" s="2"/>
      <c r="H144" s="2"/>
      <c r="I144" s="2"/>
      <c r="J144" s="2"/>
      <c r="L144" s="2"/>
      <c r="AB144" s="71"/>
    </row>
    <row r="145" spans="1:28">
      <c r="A145" s="2"/>
      <c r="B145" s="2"/>
      <c r="C145" s="2"/>
      <c r="D145" s="2"/>
      <c r="E145" s="2"/>
      <c r="F145" s="2"/>
      <c r="H145" s="2"/>
      <c r="I145" s="2"/>
      <c r="J145" s="2"/>
      <c r="L145" s="2"/>
      <c r="AB145" s="71"/>
    </row>
    <row r="146" spans="1:28">
      <c r="A146" s="2"/>
      <c r="B146" s="2"/>
      <c r="C146" s="2"/>
      <c r="D146" s="2"/>
      <c r="E146" s="2"/>
      <c r="F146" s="2"/>
      <c r="H146" s="2"/>
      <c r="I146" s="2"/>
      <c r="J146" s="2"/>
      <c r="L146" s="2"/>
      <c r="AB146" s="71"/>
    </row>
    <row r="147" spans="1:28">
      <c r="A147" s="2"/>
      <c r="B147" s="2"/>
      <c r="C147" s="2"/>
      <c r="D147" s="2"/>
      <c r="E147" s="2"/>
      <c r="F147" s="2"/>
      <c r="H147" s="2"/>
      <c r="I147" s="2"/>
      <c r="J147" s="2"/>
      <c r="L147" s="2"/>
      <c r="W147" s="72"/>
      <c r="AB147" s="71"/>
    </row>
    <row r="148" spans="1:28">
      <c r="A148" s="2"/>
      <c r="B148" s="2"/>
      <c r="C148" s="2"/>
      <c r="D148" s="2"/>
      <c r="E148" s="2"/>
      <c r="F148" s="2"/>
      <c r="H148" s="2"/>
      <c r="I148" s="2"/>
      <c r="J148" s="2"/>
      <c r="L148" s="2"/>
      <c r="W148" s="72"/>
      <c r="AB148" s="71"/>
    </row>
    <row r="149" spans="1:28">
      <c r="A149" s="2"/>
      <c r="B149" s="2"/>
      <c r="C149" s="2"/>
      <c r="D149" s="2"/>
      <c r="E149" s="2"/>
      <c r="F149" s="2"/>
      <c r="H149" s="2"/>
      <c r="I149" s="2"/>
      <c r="J149" s="2"/>
      <c r="L149" s="2"/>
      <c r="AB149" s="71"/>
    </row>
    <row r="150" spans="1:28">
      <c r="A150" s="2"/>
      <c r="B150" s="2"/>
      <c r="C150" s="2"/>
      <c r="D150" s="2"/>
      <c r="E150" s="2"/>
      <c r="F150" s="2"/>
      <c r="H150" s="2"/>
      <c r="I150" s="2"/>
      <c r="J150" s="2"/>
      <c r="L150" s="2"/>
      <c r="AB150" s="71"/>
    </row>
    <row r="151" spans="1:28">
      <c r="A151" s="2"/>
      <c r="B151" s="2"/>
      <c r="C151" s="2"/>
      <c r="D151" s="2"/>
      <c r="E151" s="2"/>
      <c r="F151" s="2"/>
      <c r="H151" s="2"/>
      <c r="I151" s="2"/>
      <c r="J151" s="2"/>
      <c r="L151" s="2"/>
      <c r="AB151" s="71"/>
    </row>
    <row r="152" spans="1:28">
      <c r="A152" s="2"/>
      <c r="B152" s="2"/>
      <c r="C152" s="2"/>
      <c r="D152" s="2"/>
      <c r="E152" s="2"/>
      <c r="F152" s="2"/>
      <c r="H152" s="2"/>
      <c r="I152" s="2"/>
      <c r="J152" s="2"/>
      <c r="L152" s="2"/>
    </row>
    <row r="153" spans="1:28">
      <c r="A153" s="2"/>
      <c r="B153" s="2"/>
      <c r="C153" s="2"/>
      <c r="D153" s="2"/>
      <c r="E153" s="2"/>
      <c r="F153" s="2"/>
      <c r="H153" s="2"/>
      <c r="I153" s="2"/>
      <c r="J153" s="2"/>
      <c r="L153" s="2"/>
      <c r="W153" s="72"/>
      <c r="AB153" s="71"/>
    </row>
    <row r="154" spans="1:28">
      <c r="A154" s="2"/>
      <c r="B154" s="2"/>
      <c r="C154" s="2"/>
      <c r="D154" s="2"/>
      <c r="E154" s="2"/>
      <c r="F154" s="2"/>
      <c r="H154" s="2"/>
      <c r="I154" s="2"/>
      <c r="J154" s="2"/>
      <c r="L154" s="2"/>
      <c r="W154" s="72"/>
    </row>
    <row r="155" spans="1:28">
      <c r="A155" s="2"/>
      <c r="B155" s="2"/>
      <c r="C155" s="2"/>
      <c r="D155" s="2"/>
      <c r="E155" s="2"/>
      <c r="F155" s="2"/>
      <c r="H155" s="2"/>
      <c r="I155" s="2"/>
      <c r="J155" s="2"/>
      <c r="L155" s="2"/>
    </row>
    <row r="156" spans="1:28">
      <c r="A156" s="2"/>
      <c r="B156" s="2"/>
      <c r="C156" s="2"/>
      <c r="D156" s="2"/>
      <c r="E156" s="2"/>
      <c r="F156" s="2"/>
      <c r="H156" s="2"/>
      <c r="I156" s="2"/>
      <c r="J156" s="2"/>
      <c r="L156" s="2"/>
    </row>
    <row r="157" spans="1:28">
      <c r="A157" s="2"/>
      <c r="B157" s="2"/>
      <c r="C157" s="2"/>
      <c r="D157" s="2"/>
      <c r="E157" s="2"/>
      <c r="F157" s="2"/>
      <c r="H157" s="2"/>
      <c r="I157" s="2"/>
      <c r="J157" s="2"/>
      <c r="L157" s="2"/>
      <c r="AB157" s="71"/>
    </row>
    <row r="158" spans="1:28">
      <c r="A158" s="2"/>
      <c r="B158" s="2"/>
      <c r="C158" s="2"/>
      <c r="D158" s="2"/>
      <c r="E158" s="2"/>
      <c r="F158" s="2"/>
      <c r="H158" s="2"/>
      <c r="I158" s="2"/>
      <c r="J158" s="2"/>
      <c r="L158" s="2"/>
      <c r="AB158" s="71"/>
    </row>
    <row r="159" spans="1:28">
      <c r="A159" s="2"/>
      <c r="B159" s="2"/>
      <c r="C159" s="2"/>
      <c r="D159" s="2"/>
      <c r="E159" s="2"/>
      <c r="F159" s="2"/>
      <c r="H159" s="2"/>
      <c r="I159" s="2"/>
      <c r="J159" s="2"/>
      <c r="L159" s="2"/>
      <c r="W159" s="72"/>
      <c r="AB159" s="71"/>
    </row>
    <row r="160" spans="1:28">
      <c r="A160" s="2"/>
      <c r="B160" s="2"/>
      <c r="C160" s="2"/>
      <c r="D160" s="2"/>
      <c r="E160" s="2"/>
      <c r="F160" s="2"/>
      <c r="H160" s="2"/>
      <c r="I160" s="2"/>
      <c r="J160" s="2"/>
      <c r="L160" s="2"/>
      <c r="W160" s="72"/>
      <c r="AB160" s="71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</row>
    <row r="167" spans="1:28">
      <c r="AB167" s="71"/>
    </row>
    <row r="168" spans="1:28">
      <c r="AB168" s="71"/>
    </row>
    <row r="169" spans="1:28">
      <c r="AB169" s="71"/>
    </row>
    <row r="170" spans="1:28">
      <c r="AB170" s="71"/>
    </row>
    <row r="171" spans="1:28">
      <c r="W171" s="72"/>
      <c r="AB171" s="71"/>
    </row>
    <row r="172" spans="1:28">
      <c r="W172" s="72"/>
      <c r="AB172" s="71"/>
    </row>
    <row r="173" spans="1:28">
      <c r="W173" s="72"/>
    </row>
    <row r="175" spans="1:28">
      <c r="AB175" s="71"/>
    </row>
    <row r="176" spans="1:28">
      <c r="AB176" s="71"/>
    </row>
    <row r="177" spans="23:28">
      <c r="AB177" s="71"/>
    </row>
    <row r="178" spans="23:28">
      <c r="AB178" s="71"/>
    </row>
    <row r="179" spans="23:28">
      <c r="AB179" s="71"/>
    </row>
    <row r="180" spans="23:28">
      <c r="W180" s="72"/>
      <c r="AB180" s="71"/>
    </row>
    <row r="181" spans="23:28">
      <c r="W181" s="72"/>
    </row>
    <row r="182" spans="23:28">
      <c r="W182" s="72"/>
    </row>
    <row r="189" spans="23:28">
      <c r="W189" s="72"/>
    </row>
    <row r="190" spans="23:28">
      <c r="W190" s="72"/>
    </row>
    <row r="191" spans="23:28">
      <c r="W191" s="72"/>
    </row>
    <row r="201" spans="23:23">
      <c r="W201" s="72"/>
    </row>
    <row r="202" spans="23:23">
      <c r="W202" s="72"/>
    </row>
    <row r="203" spans="23:23">
      <c r="W203" s="72"/>
    </row>
    <row r="210" spans="23:23">
      <c r="W210" s="72"/>
    </row>
    <row r="211" spans="23:23">
      <c r="W211" s="72"/>
    </row>
    <row r="212" spans="23:23">
      <c r="W212" s="72"/>
    </row>
    <row r="219" spans="23:23">
      <c r="W219" s="72"/>
    </row>
    <row r="220" spans="23:23">
      <c r="W220" s="72"/>
    </row>
    <row r="221" spans="23:23">
      <c r="W221" s="72"/>
    </row>
    <row r="231" spans="23:23">
      <c r="W231" s="72"/>
    </row>
    <row r="232" spans="23:23">
      <c r="W232" s="72"/>
    </row>
    <row r="233" spans="23:23">
      <c r="W233" s="72"/>
    </row>
    <row r="240" spans="23:23">
      <c r="W240" s="72"/>
    </row>
    <row r="241" spans="23:23">
      <c r="W241" s="72"/>
    </row>
    <row r="242" spans="23:23">
      <c r="W242" s="72"/>
    </row>
    <row r="249" spans="23:23">
      <c r="W249" s="72"/>
    </row>
    <row r="250" spans="23:23">
      <c r="W250" s="72"/>
    </row>
    <row r="251" spans="23:23">
      <c r="W251" s="72"/>
    </row>
  </sheetData>
  <sheetProtection sheet="1" objects="1" scenarios="1" formatCells="0" formatColumns="0" formatRow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19" val="1" numFmtId="9"/>
      <inputCells r="E20" val="1" numFmtId="9"/>
      <inputCells r="E21" val="1" numFmtId="9"/>
      <inputCells r="E32" val="1" numFmtId="9"/>
      <inputCells r="E36" val="1" numFmtId="9"/>
      <inputCells r="E37" val="1" numFmtId="9"/>
      <inputCells r="E38" val="1" numFmtId="9"/>
      <inputCells r="E51" val="1" numFmtId="9"/>
      <inputCells r="F30" val="1" numFmtId="9"/>
      <inputCells r="F31" val="2" numFmtId="9"/>
      <inputCells r="F32" val="1.25" numFmtId="9"/>
      <inputCells r="F36" val="1" numFmtId="9"/>
      <inputCells r="F37" val="0.4" numFmtId="9"/>
      <inputCells r="F38" val="1" numFmtId="9"/>
      <inputCells r="F51" val="1" numFmtId="9"/>
      <inputCells r="F29" val="2.5" numFmtId="9"/>
      <inputCells r="G29" val="2" numFmtId="9"/>
      <inputCells r="F57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19" val="1" numFmtId="9"/>
      <inputCells r="E20" val="1" numFmtId="9"/>
      <inputCells r="E21" val="1" numFmtId="9"/>
      <inputCells r="E32" val="1" numFmtId="9"/>
      <inputCells r="E36" val="1" numFmtId="9"/>
      <inputCells r="E37" val="1" numFmtId="9"/>
      <inputCells r="E38" val="1" numFmtId="9"/>
      <inputCells r="E51" val="1" numFmtId="9"/>
      <inputCells r="F29" val="1" numFmtId="9"/>
      <inputCells r="F30" val="1" numFmtId="9"/>
      <inputCells r="F31" val="1" numFmtId="9"/>
      <inputCells r="F32" val="1" numFmtId="9"/>
      <inputCells r="F36" val="1" numFmtId="9"/>
      <inputCells r="F37" val="1" numFmtId="9"/>
      <inputCells r="F38" val="1" numFmtId="9"/>
      <inputCells r="F51" val="1" numFmtId="9"/>
      <inputCells r="G29" val="1" numFmtId="9"/>
      <inputCells r="F57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91" priority="113" operator="equal">
      <formula>16</formula>
    </cfRule>
    <cfRule type="cellIs" dxfId="190" priority="114" operator="equal">
      <formula>15</formula>
    </cfRule>
    <cfRule type="cellIs" dxfId="189" priority="115" operator="equal">
      <formula>14</formula>
    </cfRule>
    <cfRule type="cellIs" dxfId="188" priority="116" operator="equal">
      <formula>13</formula>
    </cfRule>
    <cfRule type="cellIs" dxfId="187" priority="117" operator="equal">
      <formula>12</formula>
    </cfRule>
    <cfRule type="cellIs" dxfId="186" priority="118" operator="equal">
      <formula>11</formula>
    </cfRule>
    <cfRule type="cellIs" dxfId="185" priority="119" operator="equal">
      <formula>10</formula>
    </cfRule>
    <cfRule type="cellIs" dxfId="184" priority="120" operator="equal">
      <formula>9</formula>
    </cfRule>
    <cfRule type="cellIs" dxfId="183" priority="121" operator="equal">
      <formula>8</formula>
    </cfRule>
    <cfRule type="cellIs" dxfId="182" priority="122" operator="equal">
      <formula>7</formula>
    </cfRule>
    <cfRule type="cellIs" dxfId="181" priority="123" operator="equal">
      <formula>6</formula>
    </cfRule>
    <cfRule type="cellIs" dxfId="180" priority="124" operator="equal">
      <formula>5</formula>
    </cfRule>
    <cfRule type="cellIs" dxfId="179" priority="125" operator="equal">
      <formula>4</formula>
    </cfRule>
    <cfRule type="cellIs" dxfId="178" priority="126" operator="equal">
      <formula>3</formula>
    </cfRule>
    <cfRule type="cellIs" dxfId="177" priority="127" operator="equal">
      <formula>2</formula>
    </cfRule>
    <cfRule type="cellIs" dxfId="176" priority="128" operator="equal">
      <formula>1</formula>
    </cfRule>
  </conditionalFormatting>
  <conditionalFormatting sqref="N21">
    <cfRule type="cellIs" dxfId="175" priority="97" operator="equal">
      <formula>16</formula>
    </cfRule>
    <cfRule type="cellIs" dxfId="174" priority="98" operator="equal">
      <formula>15</formula>
    </cfRule>
    <cfRule type="cellIs" dxfId="173" priority="99" operator="equal">
      <formula>14</formula>
    </cfRule>
    <cfRule type="cellIs" dxfId="172" priority="100" operator="equal">
      <formula>13</formula>
    </cfRule>
    <cfRule type="cellIs" dxfId="171" priority="101" operator="equal">
      <formula>12</formula>
    </cfRule>
    <cfRule type="cellIs" dxfId="170" priority="102" operator="equal">
      <formula>11</formula>
    </cfRule>
    <cfRule type="cellIs" dxfId="169" priority="103" operator="equal">
      <formula>10</formula>
    </cfRule>
    <cfRule type="cellIs" dxfId="168" priority="104" operator="equal">
      <formula>9</formula>
    </cfRule>
    <cfRule type="cellIs" dxfId="167" priority="105" operator="equal">
      <formula>8</formula>
    </cfRule>
    <cfRule type="cellIs" dxfId="166" priority="106" operator="equal">
      <formula>7</formula>
    </cfRule>
    <cfRule type="cellIs" dxfId="165" priority="107" operator="equal">
      <formula>6</formula>
    </cfRule>
    <cfRule type="cellIs" dxfId="164" priority="108" operator="equal">
      <formula>5</formula>
    </cfRule>
    <cfRule type="cellIs" dxfId="163" priority="109" operator="equal">
      <formula>4</formula>
    </cfRule>
    <cfRule type="cellIs" dxfId="162" priority="110" operator="equal">
      <formula>3</formula>
    </cfRule>
    <cfRule type="cellIs" dxfId="161" priority="111" operator="equal">
      <formula>2</formula>
    </cfRule>
    <cfRule type="cellIs" dxfId="160" priority="112" operator="equal">
      <formula>1</formula>
    </cfRule>
  </conditionalFormatting>
  <conditionalFormatting sqref="N95:N100">
    <cfRule type="cellIs" dxfId="159" priority="49" operator="equal">
      <formula>16</formula>
    </cfRule>
    <cfRule type="cellIs" dxfId="158" priority="50" operator="equal">
      <formula>15</formula>
    </cfRule>
    <cfRule type="cellIs" dxfId="157" priority="51" operator="equal">
      <formula>14</formula>
    </cfRule>
    <cfRule type="cellIs" dxfId="156" priority="52" operator="equal">
      <formula>13</formula>
    </cfRule>
    <cfRule type="cellIs" dxfId="155" priority="53" operator="equal">
      <formula>12</formula>
    </cfRule>
    <cfRule type="cellIs" dxfId="154" priority="54" operator="equal">
      <formula>11</formula>
    </cfRule>
    <cfRule type="cellIs" dxfId="153" priority="55" operator="equal">
      <formula>10</formula>
    </cfRule>
    <cfRule type="cellIs" dxfId="152" priority="56" operator="equal">
      <formula>9</formula>
    </cfRule>
    <cfRule type="cellIs" dxfId="151" priority="57" operator="equal">
      <formula>8</formula>
    </cfRule>
    <cfRule type="cellIs" dxfId="150" priority="58" operator="equal">
      <formula>7</formula>
    </cfRule>
    <cfRule type="cellIs" dxfId="149" priority="59" operator="equal">
      <formula>6</formula>
    </cfRule>
    <cfRule type="cellIs" dxfId="148" priority="60" operator="equal">
      <formula>5</formula>
    </cfRule>
    <cfRule type="cellIs" dxfId="147" priority="61" operator="equal">
      <formula>4</formula>
    </cfRule>
    <cfRule type="cellIs" dxfId="146" priority="62" operator="equal">
      <formula>3</formula>
    </cfRule>
    <cfRule type="cellIs" dxfId="145" priority="63" operator="equal">
      <formula>2</formula>
    </cfRule>
    <cfRule type="cellIs" dxfId="144" priority="64" operator="equal">
      <formula>1</formula>
    </cfRule>
  </conditionalFormatting>
  <conditionalFormatting sqref="N6:N20">
    <cfRule type="cellIs" dxfId="143" priority="33" operator="equal">
      <formula>16</formula>
    </cfRule>
    <cfRule type="cellIs" dxfId="142" priority="34" operator="equal">
      <formula>15</formula>
    </cfRule>
    <cfRule type="cellIs" dxfId="141" priority="35" operator="equal">
      <formula>14</formula>
    </cfRule>
    <cfRule type="cellIs" dxfId="140" priority="36" operator="equal">
      <formula>13</formula>
    </cfRule>
    <cfRule type="cellIs" dxfId="139" priority="37" operator="equal">
      <formula>12</formula>
    </cfRule>
    <cfRule type="cellIs" dxfId="138" priority="38" operator="equal">
      <formula>11</formula>
    </cfRule>
    <cfRule type="cellIs" dxfId="137" priority="39" operator="equal">
      <formula>10</formula>
    </cfRule>
    <cfRule type="cellIs" dxfId="136" priority="40" operator="equal">
      <formula>9</formula>
    </cfRule>
    <cfRule type="cellIs" dxfId="135" priority="41" operator="equal">
      <formula>8</formula>
    </cfRule>
    <cfRule type="cellIs" dxfId="134" priority="42" operator="equal">
      <formula>7</formula>
    </cfRule>
    <cfRule type="cellIs" dxfId="133" priority="43" operator="equal">
      <formula>6</formula>
    </cfRule>
    <cfRule type="cellIs" dxfId="132" priority="44" operator="equal">
      <formula>5</formula>
    </cfRule>
    <cfRule type="cellIs" dxfId="131" priority="45" operator="equal">
      <formula>4</formula>
    </cfRule>
    <cfRule type="cellIs" dxfId="130" priority="46" operator="equal">
      <formula>3</formula>
    </cfRule>
    <cfRule type="cellIs" dxfId="129" priority="47" operator="equal">
      <formula>2</formula>
    </cfRule>
    <cfRule type="cellIs" dxfId="128" priority="48" operator="equal">
      <formula>1</formula>
    </cfRule>
  </conditionalFormatting>
  <conditionalFormatting sqref="N78:N91">
    <cfRule type="cellIs" dxfId="127" priority="17" operator="equal">
      <formula>16</formula>
    </cfRule>
    <cfRule type="cellIs" dxfId="126" priority="18" operator="equal">
      <formula>15</formula>
    </cfRule>
    <cfRule type="cellIs" dxfId="125" priority="19" operator="equal">
      <formula>14</formula>
    </cfRule>
    <cfRule type="cellIs" dxfId="124" priority="20" operator="equal">
      <formula>13</formula>
    </cfRule>
    <cfRule type="cellIs" dxfId="123" priority="21" operator="equal">
      <formula>12</formula>
    </cfRule>
    <cfRule type="cellIs" dxfId="122" priority="22" operator="equal">
      <formula>11</formula>
    </cfRule>
    <cfRule type="cellIs" dxfId="121" priority="23" operator="equal">
      <formula>10</formula>
    </cfRule>
    <cfRule type="cellIs" dxfId="120" priority="24" operator="equal">
      <formula>9</formula>
    </cfRule>
    <cfRule type="cellIs" dxfId="119" priority="25" operator="equal">
      <formula>8</formula>
    </cfRule>
    <cfRule type="cellIs" dxfId="118" priority="26" operator="equal">
      <formula>7</formula>
    </cfRule>
    <cfRule type="cellIs" dxfId="117" priority="27" operator="equal">
      <formula>6</formula>
    </cfRule>
    <cfRule type="cellIs" dxfId="116" priority="28" operator="equal">
      <formula>5</formula>
    </cfRule>
    <cfRule type="cellIs" dxfId="115" priority="29" operator="equal">
      <formula>4</formula>
    </cfRule>
    <cfRule type="cellIs" dxfId="114" priority="30" operator="equal">
      <formula>3</formula>
    </cfRule>
    <cfRule type="cellIs" dxfId="113" priority="31" operator="equal">
      <formula>2</formula>
    </cfRule>
    <cfRule type="cellIs" dxfId="112" priority="32" operator="equal">
      <formula>1</formula>
    </cfRule>
  </conditionalFormatting>
  <conditionalFormatting sqref="N92:N94">
    <cfRule type="cellIs" dxfId="111" priority="1" operator="equal">
      <formula>16</formula>
    </cfRule>
    <cfRule type="cellIs" dxfId="110" priority="2" operator="equal">
      <formula>15</formula>
    </cfRule>
    <cfRule type="cellIs" dxfId="109" priority="3" operator="equal">
      <formula>14</formula>
    </cfRule>
    <cfRule type="cellIs" dxfId="108" priority="4" operator="equal">
      <formula>13</formula>
    </cfRule>
    <cfRule type="cellIs" dxfId="107" priority="5" operator="equal">
      <formula>12</formula>
    </cfRule>
    <cfRule type="cellIs" dxfId="106" priority="6" operator="equal">
      <formula>11</formula>
    </cfRule>
    <cfRule type="cellIs" dxfId="105" priority="7" operator="equal">
      <formula>10</formula>
    </cfRule>
    <cfRule type="cellIs" dxfId="104" priority="8" operator="equal">
      <formula>9</formula>
    </cfRule>
    <cfRule type="cellIs" dxfId="103" priority="9" operator="equal">
      <formula>8</formula>
    </cfRule>
    <cfRule type="cellIs" dxfId="102" priority="10" operator="equal">
      <formula>7</formula>
    </cfRule>
    <cfRule type="cellIs" dxfId="101" priority="11" operator="equal">
      <formula>6</formula>
    </cfRule>
    <cfRule type="cellIs" dxfId="100" priority="12" operator="equal">
      <formula>5</formula>
    </cfRule>
    <cfRule type="cellIs" dxfId="99" priority="13" operator="equal">
      <formula>4</formula>
    </cfRule>
    <cfRule type="cellIs" dxfId="98" priority="14" operator="equal">
      <formula>3</formula>
    </cfRule>
    <cfRule type="cellIs" dxfId="97" priority="15" operator="equal">
      <formula>2</formula>
    </cfRule>
    <cfRule type="cellIs" dxfId="96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51"/>
  <sheetViews>
    <sheetView showGridLines="0" zoomScale="125" zoomScaleNormal="125" zoomScalePageLayoutView="125"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B68" sqref="B68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ZASLC</v>
      </c>
      <c r="B1" s="2"/>
      <c r="C1" s="2"/>
      <c r="D1" s="2"/>
      <c r="E1" s="2" t="s">
        <v>47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09"/>
      <c r="X1" s="113" t="s">
        <v>69</v>
      </c>
      <c r="Y1" s="114" t="s">
        <v>60</v>
      </c>
      <c r="Z1" s="181" t="str">
        <f>Poor!Z1</f>
        <v>Apr-Jun</v>
      </c>
      <c r="AA1" s="182"/>
      <c r="AB1" s="181" t="str">
        <f>Poor!AB1</f>
        <v>Jul-Sep</v>
      </c>
      <c r="AC1" s="182"/>
      <c r="AD1" s="181" t="str">
        <f>Poor!AD1</f>
        <v>Oct-Dec</v>
      </c>
      <c r="AE1" s="182"/>
      <c r="AF1" s="181" t="str">
        <f>Poor!AF1</f>
        <v>Jan-Mar</v>
      </c>
      <c r="AG1" s="182"/>
      <c r="AH1" s="116"/>
      <c r="AI1" s="109"/>
      <c r="AJ1" s="181" t="str">
        <f>LEFT(Z1,4) &amp; MID(AB1,5,3)</f>
        <v>Apr-Sep</v>
      </c>
      <c r="AK1" s="182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09"/>
      <c r="X2" s="117" t="s">
        <v>61</v>
      </c>
      <c r="Y2" s="114" t="s">
        <v>62</v>
      </c>
      <c r="Z2" s="251" t="str">
        <f>Poor!Z2</f>
        <v>Q1</v>
      </c>
      <c r="AA2" s="252"/>
      <c r="AB2" s="251" t="str">
        <f>Poor!AB2</f>
        <v>Q2</v>
      </c>
      <c r="AC2" s="252"/>
      <c r="AD2" s="251" t="str">
        <f>Poor!AD2</f>
        <v>Q3</v>
      </c>
      <c r="AE2" s="252"/>
      <c r="AF2" s="251" t="str">
        <f>Poor!AF2</f>
        <v>Q4</v>
      </c>
      <c r="AG2" s="252"/>
      <c r="AH2" s="116"/>
      <c r="AI2" s="109"/>
      <c r="AJ2" s="198" t="str">
        <f>Poor!AJ2</f>
        <v>H1</v>
      </c>
      <c r="AK2" s="199" t="str">
        <f>Poor!AK2</f>
        <v>H2</v>
      </c>
      <c r="CM2" s="6"/>
    </row>
    <row r="3" spans="1:91">
      <c r="A3" s="73" t="s">
        <v>51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70</v>
      </c>
      <c r="R3" s="56"/>
      <c r="S3" s="67"/>
      <c r="T3" s="56"/>
      <c r="U3" s="56"/>
      <c r="V3" s="56"/>
      <c r="W3" s="109"/>
      <c r="X3" s="117"/>
      <c r="Y3" s="114" t="s">
        <v>63</v>
      </c>
      <c r="Z3" s="119"/>
      <c r="AA3" s="118"/>
      <c r="AB3" s="119"/>
      <c r="AC3" s="118"/>
      <c r="AD3" s="119"/>
      <c r="AE3" s="118"/>
      <c r="AF3" s="119"/>
      <c r="AG3" s="118"/>
      <c r="AH3" s="116"/>
      <c r="AI3" s="109"/>
      <c r="AJ3" s="119"/>
      <c r="AK3" s="118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71</v>
      </c>
      <c r="R4" s="56"/>
      <c r="S4" s="29"/>
      <c r="T4" s="56"/>
      <c r="U4" s="56"/>
      <c r="V4" s="56"/>
      <c r="W4" s="109"/>
      <c r="X4" s="117"/>
      <c r="Y4" s="114" t="s">
        <v>64</v>
      </c>
      <c r="Z4" s="119"/>
      <c r="AA4" s="118"/>
      <c r="AB4" s="119"/>
      <c r="AC4" s="118"/>
      <c r="AD4" s="119"/>
      <c r="AE4" s="118"/>
      <c r="AF4" s="119"/>
      <c r="AG4" s="118"/>
      <c r="AH4" s="116"/>
      <c r="AI4" s="109"/>
      <c r="AJ4" s="119"/>
      <c r="AK4" s="118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2" t="s">
        <v>19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20</v>
      </c>
      <c r="M5" s="23" t="str">
        <f>(J5)</f>
        <v>Access</v>
      </c>
      <c r="O5" s="2" t="s">
        <v>21</v>
      </c>
      <c r="P5" s="19"/>
      <c r="Q5" s="56"/>
      <c r="R5" s="56"/>
      <c r="S5" s="29"/>
      <c r="T5" s="56"/>
      <c r="U5" s="56"/>
      <c r="V5" s="56"/>
      <c r="W5" s="109"/>
      <c r="X5" s="117"/>
      <c r="Y5" s="114"/>
      <c r="Z5" s="119"/>
      <c r="AA5" s="118"/>
      <c r="AB5" s="119"/>
      <c r="AC5" s="118"/>
      <c r="AD5" s="119"/>
      <c r="AE5" s="118"/>
      <c r="AF5" s="119"/>
      <c r="AG5" s="118"/>
      <c r="AH5" s="116"/>
      <c r="AI5" s="109"/>
      <c r="AJ5" s="119"/>
      <c r="AK5" s="118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0">
        <f>IF([1]Summ!$J1044="",0,[1]Summ!$J1044)</f>
        <v>9.0112079701120812E-2</v>
      </c>
      <c r="C6" s="100">
        <f>IF([1]Summ!$K1044="",0,[1]Summ!$K1044)</f>
        <v>0</v>
      </c>
      <c r="D6" s="24">
        <f t="shared" ref="D6:D21" si="0">(B6+C6)</f>
        <v>9.0112079701120812E-2</v>
      </c>
      <c r="E6" s="75">
        <f>Middle!E6</f>
        <v>1</v>
      </c>
      <c r="F6" s="2" t="s">
        <v>22</v>
      </c>
      <c r="H6" s="24">
        <f t="shared" ref="H6:H21" si="1">(E6*F$7/F$9)</f>
        <v>1</v>
      </c>
      <c r="I6" s="22">
        <f t="shared" ref="I6:I21" si="2">(D6*H6)</f>
        <v>9.0112079701120812E-2</v>
      </c>
      <c r="J6" s="24">
        <f t="shared" ref="J6:J13" si="3">IF(I$24&lt;=1+I$113,I6,B6*H6+J$25*(I6-B6*H6))</f>
        <v>9.0112079701120812E-2</v>
      </c>
      <c r="K6" s="22">
        <f t="shared" ref="K6:K23" si="4">B6</f>
        <v>9.0112079701120812E-2</v>
      </c>
      <c r="L6" s="22">
        <f t="shared" ref="L6:L21" si="5">IF(K6="","",K6*H6)</f>
        <v>9.0112079701120812E-2</v>
      </c>
      <c r="M6" s="176">
        <f t="shared" ref="M6:M23" si="6">J6</f>
        <v>9.0112079701120812E-2</v>
      </c>
      <c r="N6" s="231">
        <v>3</v>
      </c>
      <c r="O6" s="22" t="s">
        <v>23</v>
      </c>
      <c r="P6" s="22"/>
      <c r="Q6" s="56"/>
      <c r="R6" s="70" t="s">
        <v>7</v>
      </c>
      <c r="S6" s="70" t="s">
        <v>72</v>
      </c>
      <c r="T6" s="70" t="s">
        <v>23</v>
      </c>
      <c r="U6" s="56"/>
      <c r="V6" s="56"/>
      <c r="W6" s="114"/>
      <c r="X6" s="117"/>
      <c r="Y6" s="184">
        <f>M6*4</f>
        <v>0.36044831880448325</v>
      </c>
      <c r="Z6" s="155">
        <f>Poor!Z6</f>
        <v>0.17</v>
      </c>
      <c r="AA6" s="120">
        <f>$M6*Z6*4</f>
        <v>6.1276214196762158E-2</v>
      </c>
      <c r="AB6" s="155">
        <f>Poor!AB6</f>
        <v>0.17</v>
      </c>
      <c r="AC6" s="120">
        <f t="shared" ref="AC6:AC21" si="7">$M6*AB6*4</f>
        <v>6.1276214196762158E-2</v>
      </c>
      <c r="AD6" s="155">
        <f>Poor!AD6</f>
        <v>0.33</v>
      </c>
      <c r="AE6" s="120">
        <f t="shared" ref="AE6:AE21" si="8">$M6*AD6*4</f>
        <v>0.11894794520547948</v>
      </c>
      <c r="AF6" s="121">
        <f>1-SUM(Z6,AB6,AD6)</f>
        <v>0.32999999999999996</v>
      </c>
      <c r="AG6" s="120">
        <f>$M6*AF6*4</f>
        <v>0.11894794520547945</v>
      </c>
      <c r="AH6" s="122">
        <f>SUM(Z6,AB6,AD6,AF6)</f>
        <v>1</v>
      </c>
      <c r="AI6" s="184">
        <f>SUM(AA6,AC6,AE6,AG6)/4</f>
        <v>9.0112079701120812E-2</v>
      </c>
      <c r="AJ6" s="119">
        <f>(AA6+AC6)/2</f>
        <v>6.1276214196762158E-2</v>
      </c>
      <c r="AK6" s="118">
        <f>(AE6+AG6)/2</f>
        <v>0.11894794520547947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0">
        <f>IF([1]Summ!$J1045="",0,[1]Summ!$J1045)</f>
        <v>0.10092465753424658</v>
      </c>
      <c r="C7" s="100">
        <f>IF([1]Summ!$K1045="",0,[1]Summ!$K1045)</f>
        <v>0</v>
      </c>
      <c r="D7" s="24">
        <f t="shared" si="0"/>
        <v>0.10092465753424658</v>
      </c>
      <c r="E7" s="75">
        <f>Middle!E7</f>
        <v>1</v>
      </c>
      <c r="F7" s="27">
        <v>8800</v>
      </c>
      <c r="H7" s="24">
        <f t="shared" si="1"/>
        <v>1</v>
      </c>
      <c r="I7" s="22">
        <f t="shared" si="2"/>
        <v>0.10092465753424658</v>
      </c>
      <c r="J7" s="24">
        <f t="shared" si="3"/>
        <v>0.10092465753424658</v>
      </c>
      <c r="K7" s="22">
        <f t="shared" si="4"/>
        <v>0.10092465753424658</v>
      </c>
      <c r="L7" s="22">
        <f t="shared" si="5"/>
        <v>0.10092465753424658</v>
      </c>
      <c r="M7" s="176">
        <f t="shared" si="6"/>
        <v>0.10092465753424658</v>
      </c>
      <c r="N7" s="231">
        <v>3</v>
      </c>
      <c r="O7" s="2"/>
      <c r="P7" s="22"/>
      <c r="Q7" s="59" t="s">
        <v>73</v>
      </c>
      <c r="R7" s="224">
        <f>IF($B$68=0,0,(SUMIF($N$6:$N$20,$U7,K$6:K$20)+SUMIF($N$78:$N$100,$U7,K$78:K$100))*$I$70*Poor!$B$68/$B$68)</f>
        <v>3458.8488009197026</v>
      </c>
      <c r="S7" s="224">
        <f>IF($B$68=0,0,(SUMIF($N$6:$N$20,$U7,L$6:L$20)+SUMIF($N$78:$N$100,$U7,L$78:L$100))*$I$70*Poor!$B$68/$B$68)</f>
        <v>3458.8488009197026</v>
      </c>
      <c r="T7" s="224">
        <f>IF($B$68=0,0,(SUMIF($N$6:$N$20,$U7,M$6:M$20)+SUMIF($N$78:$N$100,$U7,M$78:M$100))*$I$70*Poor!$B$68/$B$68)</f>
        <v>3443.1155188969597</v>
      </c>
      <c r="U7" s="225">
        <v>1</v>
      </c>
      <c r="V7" s="56"/>
      <c r="W7" s="114"/>
      <c r="X7" s="117">
        <f>Poor!X7</f>
        <v>4</v>
      </c>
      <c r="Y7" s="184">
        <f t="shared" ref="Y7:Y21" si="9">M7*4</f>
        <v>0.40369863013698631</v>
      </c>
      <c r="Z7" s="124">
        <f>IF($Y7=0,0,AA7/$Y7)</f>
        <v>0</v>
      </c>
      <c r="AA7" s="120">
        <f>IF($X7=1,IF(SUM(AA$6,AA$12:AA$21)&lt;1,IF((1-SUM(AA$6,AA$12:AA$21))*$M7/SUM($M$7*IF($X$7=1,1,0),$M$8*IF($X$8=1,1,0),$M$9*IF($X$9=1,1,0),$M$10*IF($X$10=1,1,0),$M$11*IF($X$11=1,1,0))&lt;Y7,(1-SUM(AA$6,AA$12:AA$21))*$M7/SUM($M$7*IF($X$7=1,1,0),$M$8*IF($X$8=1,1,0),$M$9*IF($X$9=1,1,0),$M$10*IF($X$10=1,1,0),$M$11*IF($X$11=1,1,0)),Y7),0),0)</f>
        <v>0</v>
      </c>
      <c r="AB7" s="124">
        <f>IF($Y7=0,0,AC7/$Y7)</f>
        <v>0</v>
      </c>
      <c r="AC7" s="120">
        <f>IF($X7&lt;3,IF(SUM(AC$6,AC$12:AC$21)&lt;1,IF(SUM(AC$6,AC$12:AC$21)+SUM((Y$7-AA$7)*IF($X$7&lt;3,1,0),(Y$8-AA$8)*IF($X$8&lt;3,1,0),(Y$9-AA$9)*IF($X$9&lt;3,1,0),(Y$10-AA$10)*IF($X$10&lt;3,1,0),(Y$11-AA$11)*IF($X$11&lt;3,1,0))&lt;1,Y7-AA7,IF((1-SUM(AC$6,AC$12:AC$21))*$M7/SUM($M$7*IF($X$7&lt;3,1,0),$M$8*IF($X$8&lt;3,1,0),$M$9*IF($X$9&lt;3,1,0),$M$10*IF($X$10&lt;3,1,0),$M$11*IF($X$11&lt;3,1,0))&lt;Y7-AA7,(1-SUM(AC$6,AC$12:AC$21))*$M7/SUM($M$7*IF($X$7&lt;3,1,0),$M$8*IF($X$8&lt;3,1,0),$M$9*IF($X$9&lt;3,1,0),$M$10*IF($X$10&lt;3,1,0),$M$11*IF($X$11&lt;3,1,0)),Y7-AA7)),0),0)</f>
        <v>0</v>
      </c>
      <c r="AD7" s="124">
        <f>IF($Y7=0,0,AE7/$Y7)</f>
        <v>0</v>
      </c>
      <c r="AE7" s="120">
        <f>IF($X7&lt;4,IF(SUM(AE$6:AE$6,AE$12:AE$21)&lt;1,IF(SUM(AE$6:AE$6,AE$12:AE$21)+SUM((Y$7-AA$7-AC$7)*IF($X$7&lt;3,1,0),(Y$8-AA$8-AC$8)*IF($X$8&lt;3,1,0),(Y$9-AA$9-AC$9)*IF($X$9&lt;3,1,0),(Y$10-AA$10-AC$10)*IF($X$10&lt;3,1,0),(Y$11-AA$11-AC$11)*IF($X$11&lt;3,1,0))&lt;1,Y7-AA7-AC7,IF((1-SUM(AE$6:AE$6,AE$12:AE$21))*$M7/SUM($M$7*IF($X$7&lt;4,1,0),$M$8*IF($X$8&lt;4,1,0),$M$9*IF($X$9&lt;4,1,0),$M$10*IF($X$10&lt;4,1,0),$M$11*IF($X$11&lt;4,1,0))&lt;Y7-AA7-AC7,(1-SUM(AE$6:AE$6,AE$12:AE$21))*$M7/SUM($M$7*IF($X$7&lt;4,1,0),$M$8*IF($X$8&lt;4,1,0),$M$9*IF($X$9&lt;4,1,0),$M$10*IF($X$10&lt;4,1,0),$M$11*IF($X$11&lt;4,1,0)),Y7-AA7-AC7)),0),0)</f>
        <v>0</v>
      </c>
      <c r="AF7" s="121">
        <f t="shared" ref="AF7:AF21" si="10">1-SUM(Z7,AB7,AD7)</f>
        <v>1</v>
      </c>
      <c r="AG7" s="120">
        <f t="shared" ref="AG7:AG21" si="11">$M7*AF7*4</f>
        <v>0.40369863013698631</v>
      </c>
      <c r="AH7" s="122">
        <f t="shared" ref="AH7:AH22" si="12">SUM(Z7,AB7,AD7,AF7)</f>
        <v>1</v>
      </c>
      <c r="AI7" s="184">
        <f t="shared" ref="AI7:AI22" si="13">SUM(AA7,AC7,AE7,AG7)/4</f>
        <v>0.10092465753424658</v>
      </c>
      <c r="AJ7" s="119">
        <f t="shared" ref="AJ7:AJ23" si="14">(AA7+AC7)/2</f>
        <v>0</v>
      </c>
      <c r="AK7" s="118">
        <f t="shared" ref="AK7:AK23" si="15">(AE7+AG7)/2</f>
        <v>0.20184931506849316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Green cons - Season 1: no of months</v>
      </c>
      <c r="B8" s="100">
        <f>IF([1]Summ!$J1046="",0,[1]Summ!$J1046)</f>
        <v>4.1666666666666664E-2</v>
      </c>
      <c r="C8" s="100">
        <f>IF([1]Summ!$K1046="",0,[1]Summ!$K1046)</f>
        <v>0</v>
      </c>
      <c r="D8" s="24">
        <f t="shared" si="0"/>
        <v>4.1666666666666664E-2</v>
      </c>
      <c r="E8" s="75">
        <f>Middle!E8</f>
        <v>1</v>
      </c>
      <c r="F8" s="22" t="s">
        <v>24</v>
      </c>
      <c r="H8" s="24">
        <f t="shared" si="1"/>
        <v>1</v>
      </c>
      <c r="I8" s="22">
        <f t="shared" si="2"/>
        <v>4.1666666666666664E-2</v>
      </c>
      <c r="J8" s="24">
        <f t="shared" si="3"/>
        <v>4.1666666666666664E-2</v>
      </c>
      <c r="K8" s="22">
        <f t="shared" si="4"/>
        <v>4.1666666666666664E-2</v>
      </c>
      <c r="L8" s="22">
        <f t="shared" si="5"/>
        <v>4.1666666666666664E-2</v>
      </c>
      <c r="M8" s="226">
        <f t="shared" si="6"/>
        <v>4.1666666666666664E-2</v>
      </c>
      <c r="N8" s="231">
        <v>1</v>
      </c>
      <c r="O8" s="2"/>
      <c r="P8" s="22"/>
      <c r="Q8" s="59" t="s">
        <v>74</v>
      </c>
      <c r="R8" s="224">
        <f>IF($B$68=0,0,(SUMIF($N$6:$N$20,$U8,K$6:K$20)+SUMIF($N$78:$N$100,$U8,K$78:K$100))*$I$70*Poor!$B$68/$B$68)</f>
        <v>18345.600000000002</v>
      </c>
      <c r="S8" s="224">
        <f>IF($B$68=0,0,(SUMIF($N$6:$N$20,$U8,L$6:L$20)+SUMIF($N$78:$N$100,$U8,L$78:L$100))*$I$70*Poor!$B$68/$B$68)</f>
        <v>15807.000000000004</v>
      </c>
      <c r="T8" s="224">
        <f>IF($B$68=0,0,(SUMIF($N$6:$N$20,$U8,M$6:M$20)+SUMIF($N$78:$N$100,$U8,M$78:M$100))*$I$70*Poor!$B$68/$B$68)</f>
        <v>15726.291968389682</v>
      </c>
      <c r="U8" s="225">
        <v>2</v>
      </c>
      <c r="V8" s="56"/>
      <c r="W8" s="114"/>
      <c r="X8" s="117">
        <f>Poor!X8</f>
        <v>1</v>
      </c>
      <c r="Y8" s="184">
        <f t="shared" si="9"/>
        <v>0.16666666666666666</v>
      </c>
      <c r="Z8" s="124">
        <f>IF($Y8=0,0,AA8/$Y8)</f>
        <v>0.33672131238762609</v>
      </c>
      <c r="AA8" s="120">
        <f>IF($X8=1,IF(SUM(AA$6,AA$12:AA$21)&lt;1,IF((1-SUM(AA$6,AA$12:AA$21))*$M8/SUM($M$7*IF($X$7=1,1,0),$M$8*IF($X$8=1,1,0),$M$9*IF($X$9=1,1,0),$M$10*IF($X$10=1,1,0),$M$11*IF($X$11=1,1,0))&lt;Y8,(1-SUM(AA$6,AA$12:AA$21))*$M8/SUM($M$7*IF($X$7=1,1,0),$M$8*IF($X$8=1,1,0),$M$9*IF($X$9=1,1,0),$M$10*IF($X$10=1,1,0),$M$11*IF($X$11=1,1,0)),Y8),0),0)</f>
        <v>5.6120218731271015E-2</v>
      </c>
      <c r="AB8" s="124">
        <f>IF($Y8=0,0,AC8/$Y8)</f>
        <v>0.35278490966932241</v>
      </c>
      <c r="AC8" s="120">
        <f>IF($X8&lt;3,IF(SUM(AC$6,AC$12:AC$21)&lt;1,IF(SUM(AC$6,AC$12:AC$21)+SUM((Y$7-AA$7)*IF($X$7&lt;3,1,0),(Y$8-AA$8)*IF($X$8&lt;3,1,0),(Y$9-AA$9)*IF($X$9&lt;3,1,0),(Y$10-AA$10)*IF($X$10&lt;3,1,0),(Y$11-AA$11)*IF($X$11&lt;3,1,0))&lt;1,Y8-AA8,IF((1-SUM(AC$6,AC$12:AC$21))*$M8/SUM($M$7*IF($X$7&lt;3,1,0),$M$8*IF($X$8&lt;3,1,0),$M$9*IF($X$9&lt;3,1,0),$M$10*IF($X$10&lt;3,1,0),$M$11*IF($X$11&lt;3,1,0))&lt;Y8-AA8,(1-SUM(AC$6,AC$12:AC$21))*$M8/SUM($M$7*IF($X$7&lt;3,1,0),$M$8*IF($X$8&lt;3,1,0),$M$9*IF($X$9&lt;3,1,0),$M$10*IF($X$10&lt;3,1,0),$M$11*IF($X$11&lt;3,1,0)),Y8-AA8)),0),0)</f>
        <v>5.8797484944887062E-2</v>
      </c>
      <c r="AD8" s="124">
        <f>IF($Y8=0,0,AE8/$Y8)</f>
        <v>0.3104937779430515</v>
      </c>
      <c r="AE8" s="120">
        <f>IF($X8&lt;4,IF(SUM(AE$6:AE$6,AE$12:AE$21)&lt;1,IF(SUM(AE$6:AE$6,AE$12:AE$21)+SUM((Y$7-AA$7-AC$7)*IF($X$7&lt;3,1,0),(Y$8-AA$8-AC$8)*IF($X$8&lt;3,1,0),(Y$9-AA$9-AC$9)*IF($X$9&lt;3,1,0),(Y$10-AA$10-AC$10)*IF($X$10&lt;3,1,0),(Y$11-AA$11-AC$11)*IF($X$11&lt;3,1,0))&lt;1,Y8-AA8-AC8,IF((1-SUM(AE$6:AE$6,AE$12:AE$21))*$M8/SUM($M$7*IF($X$7&lt;4,1,0),$M$8*IF($X$8&lt;4,1,0),$M$9*IF($X$9&lt;4,1,0),$M$10*IF($X$10&lt;4,1,0),$M$11*IF($X$11&lt;4,1,0))&lt;Y8-AA8-AC8,(1-SUM(AE$6:AE$6,AE$12:AE$21))*$M8/SUM($M$7*IF($X$7&lt;4,1,0),$M$8*IF($X$8&lt;4,1,0),$M$9*IF($X$9&lt;4,1,0),$M$10*IF($X$10&lt;4,1,0),$M$11*IF($X$11&lt;4,1,0)),Y8-AA8-AC8)),0),0)</f>
        <v>5.174896299050858E-2</v>
      </c>
      <c r="AF8" s="121">
        <f t="shared" si="10"/>
        <v>0</v>
      </c>
      <c r="AG8" s="120">
        <f t="shared" si="11"/>
        <v>0</v>
      </c>
      <c r="AH8" s="122">
        <f t="shared" si="12"/>
        <v>1</v>
      </c>
      <c r="AI8" s="184">
        <f t="shared" si="13"/>
        <v>4.1666666666666664E-2</v>
      </c>
      <c r="AJ8" s="119">
        <f t="shared" si="14"/>
        <v>5.7458851838079042E-2</v>
      </c>
      <c r="AK8" s="118">
        <f t="shared" si="15"/>
        <v>2.587448149525429E-2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0">
        <f>IF([1]Summ!$J1047="",0,[1]Summ!$J1047)</f>
        <v>0.20346127397260275</v>
      </c>
      <c r="C9" s="100">
        <f>IF([1]Summ!$K1047="",0,[1]Summ!$K1047)</f>
        <v>0.37853260273972611</v>
      </c>
      <c r="D9" s="24">
        <f t="shared" si="0"/>
        <v>0.58199387671232883</v>
      </c>
      <c r="E9" s="75">
        <f>Middle!E9</f>
        <v>1</v>
      </c>
      <c r="F9" s="76">
        <f>Poor!F9</f>
        <v>8800</v>
      </c>
      <c r="H9" s="24">
        <f t="shared" si="1"/>
        <v>1</v>
      </c>
      <c r="I9" s="22">
        <f t="shared" si="2"/>
        <v>0.58199387671232883</v>
      </c>
      <c r="J9" s="24">
        <f t="shared" si="3"/>
        <v>0.20152854661969236</v>
      </c>
      <c r="K9" s="22">
        <f t="shared" si="4"/>
        <v>0.20346127397260275</v>
      </c>
      <c r="L9" s="22">
        <f t="shared" si="5"/>
        <v>0.20346127397260275</v>
      </c>
      <c r="M9" s="226">
        <f t="shared" si="6"/>
        <v>0.20152854661969236</v>
      </c>
      <c r="N9" s="231">
        <v>1</v>
      </c>
      <c r="O9" s="2"/>
      <c r="P9" s="22"/>
      <c r="Q9" s="59" t="s">
        <v>75</v>
      </c>
      <c r="R9" s="224">
        <f>IF($B$68=0,0,(SUMIF($N$6:$N$20,$U9,K$6:K$20)+SUMIF($N$78:$N$100,$U9,K$78:K$100))*$I$70*Poor!$B$68/$B$68)</f>
        <v>1530.3594248062977</v>
      </c>
      <c r="S9" s="224">
        <f>IF($B$68=0,0,(SUMIF($N$6:$N$20,$U9,L$6:L$20)+SUMIF($N$78:$N$100,$U9,L$78:L$100))*$I$70*Poor!$B$68/$B$68)</f>
        <v>1530.3594248062977</v>
      </c>
      <c r="T9" s="224">
        <f>IF($B$68=0,0,(SUMIF($N$6:$N$20,$U9,M$6:M$20)+SUMIF($N$78:$N$100,$U9,M$78:M$100))*$I$70*Poor!$B$68/$B$68)</f>
        <v>1530.3594248062977</v>
      </c>
      <c r="U9" s="225">
        <v>3</v>
      </c>
      <c r="V9" s="56"/>
      <c r="W9" s="114"/>
      <c r="X9" s="117">
        <f>Poor!X9</f>
        <v>1</v>
      </c>
      <c r="Y9" s="184">
        <f t="shared" si="9"/>
        <v>0.80611418647876942</v>
      </c>
      <c r="Z9" s="124">
        <f>IF($Y9=0,0,AA9/$Y9)</f>
        <v>0.33672131238762609</v>
      </c>
      <c r="AA9" s="120">
        <f>IF($X9=1,IF(SUM(AA$6,AA$12:AA$21)&lt;1,IF((1-SUM(AA$6,AA$12:AA$21))*$M9/SUM($M$7*IF($X$7=1,1,0),$M$8*IF($X$8=1,1,0),$M$9*IF($X$9=1,1,0),$M$10*IF($X$10=1,1,0),$M$11*IF($X$11=1,1,0))&lt;Y9,(1-SUM(AA$6,AA$12:AA$21))*$M9/SUM($M$7*IF($X$7=1,1,0),$M$8*IF($X$8=1,1,0),$M$9*IF($X$9=1,1,0),$M$10*IF($X$10=1,1,0),$M$11*IF($X$11=1,1,0)),Y9),0),0)</f>
        <v>0.27143582680541478</v>
      </c>
      <c r="AB9" s="124">
        <f>IF($Y9=0,0,AC9/$Y9)</f>
        <v>0.35278490966932236</v>
      </c>
      <c r="AC9" s="120">
        <f>IF($X9&lt;3,IF(SUM(AC$6,AC$12:AC$21)&lt;1,IF(SUM(AC$6,AC$12:AC$21)+SUM((Y$7-AA$7)*IF($X$7&lt;3,1,0),(Y$8-AA$8)*IF($X$8&lt;3,1,0),(Y$9-AA$9)*IF($X$9&lt;3,1,0),(Y$10-AA$10)*IF($X$10&lt;3,1,0),(Y$11-AA$11)*IF($X$11&lt;3,1,0))&lt;1,Y9-AA9,IF((1-SUM(AC$6,AC$12:AC$21))*$M9/SUM($M$7*IF($X$7&lt;3,1,0),$M$8*IF($X$8&lt;3,1,0),$M$9*IF($X$9&lt;3,1,0),$M$10*IF($X$10&lt;3,1,0),$M$11*IF($X$11&lt;3,1,0))&lt;Y9-AA9,(1-SUM(AC$6,AC$12:AC$21))*$M9/SUM($M$7*IF($X$7&lt;3,1,0),$M$8*IF($X$8&lt;3,1,0),$M$9*IF($X$9&lt;3,1,0),$M$10*IF($X$10&lt;3,1,0),$M$11*IF($X$11&lt;3,1,0)),Y9-AA9)),0),0)</f>
        <v>0.28438492046007197</v>
      </c>
      <c r="AD9" s="124">
        <f>IF($Y9=0,0,AE9/$Y9)</f>
        <v>0.31049377794305155</v>
      </c>
      <c r="AE9" s="120">
        <f>IF($X9&lt;4,IF(SUM(AE$6:AE$6,AE$12:AE$21)&lt;1,IF(SUM(AE$6:AE$6,AE$12:AE$21)+SUM((Y$7-AA$7-AC$7)*IF($X$7&lt;3,1,0),(Y$8-AA$8-AC$8)*IF($X$8&lt;3,1,0),(Y$9-AA$9-AC$9)*IF($X$9&lt;3,1,0),(Y$10-AA$10-AC$10)*IF($X$10&lt;3,1,0),(Y$11-AA$11-AC$11)*IF($X$11&lt;3,1,0))&lt;1,Y9-AA9-AC9,IF((1-SUM(AE$6:AE$6,AE$12:AE$21))*$M9/SUM($M$7*IF($X$7&lt;4,1,0),$M$8*IF($X$8&lt;4,1,0),$M$9*IF($X$9&lt;4,1,0),$M$10*IF($X$10&lt;4,1,0),$M$11*IF($X$11&lt;4,1,0))&lt;Y9-AA9-AC9,(1-SUM(AE$6:AE$6,AE$12:AE$21))*$M9/SUM($M$7*IF($X$7&lt;4,1,0),$M$8*IF($X$8&lt;4,1,0),$M$9*IF($X$9&lt;4,1,0),$M$10*IF($X$10&lt;4,1,0),$M$11*IF($X$11&lt;4,1,0)),Y9-AA9-AC9)),0),0)</f>
        <v>0.25029343921328268</v>
      </c>
      <c r="AF9" s="121">
        <f t="shared" si="10"/>
        <v>0</v>
      </c>
      <c r="AG9" s="120">
        <f t="shared" si="11"/>
        <v>0</v>
      </c>
      <c r="AH9" s="122">
        <f t="shared" si="12"/>
        <v>1</v>
      </c>
      <c r="AI9" s="184">
        <f t="shared" si="13"/>
        <v>0.20152854661969238</v>
      </c>
      <c r="AJ9" s="119">
        <f t="shared" si="14"/>
        <v>0.2779103736327434</v>
      </c>
      <c r="AK9" s="118">
        <f t="shared" si="15"/>
        <v>0.12514671960664134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Cowpeas: kg produced</v>
      </c>
      <c r="B10" s="100">
        <f>IF([1]Summ!$J1048="",0,[1]Summ!$J1048)</f>
        <v>2.9250246575342465E-2</v>
      </c>
      <c r="C10" s="100">
        <f>IF([1]Summ!$K1048="",0,[1]Summ!$K1048)</f>
        <v>-7.9773399750933983E-3</v>
      </c>
      <c r="D10" s="24">
        <f t="shared" si="0"/>
        <v>2.1272906600249067E-2</v>
      </c>
      <c r="E10" s="75">
        <f>Middle!E10</f>
        <v>1</v>
      </c>
      <c r="H10" s="24">
        <f t="shared" si="1"/>
        <v>1</v>
      </c>
      <c r="I10" s="22">
        <f t="shared" si="2"/>
        <v>2.1272906600249067E-2</v>
      </c>
      <c r="J10" s="24">
        <f t="shared" si="3"/>
        <v>2.9290977606333552E-2</v>
      </c>
      <c r="K10" s="22">
        <f t="shared" si="4"/>
        <v>2.9250246575342465E-2</v>
      </c>
      <c r="L10" s="22">
        <f t="shared" si="5"/>
        <v>2.9250246575342465E-2</v>
      </c>
      <c r="M10" s="226">
        <f t="shared" si="6"/>
        <v>2.9290977606333552E-2</v>
      </c>
      <c r="N10" s="231">
        <v>1</v>
      </c>
      <c r="O10" s="2"/>
      <c r="P10" s="22"/>
      <c r="Q10" s="59" t="s">
        <v>76</v>
      </c>
      <c r="R10" s="224">
        <f>IF($B$68=0,0,(SUMIF($N$6:$N$20,$U10,K$6:K$20)+SUMIF($N$78:$N$100,$U10,K$78:K$100))*$I$70*Poor!$B$68/$B$68)</f>
        <v>0</v>
      </c>
      <c r="S10" s="224">
        <f>IF($B$68=0,0,(SUMIF($N$6:$N$20,$U10,L$6:L$20)+SUMIF($N$78:$N$100,$U10,L$78:L$100))*$I$70*Poor!$B$68/$B$68)</f>
        <v>0</v>
      </c>
      <c r="T10" s="224">
        <f>IF($B$68=0,0,(SUMIF($N$6:$N$20,$U10,M$6:M$20)+SUMIF($N$78:$N$100,$U10,M$78:M$100))*$I$70*Poor!$B$68/$B$68)</f>
        <v>0</v>
      </c>
      <c r="U10" s="225">
        <v>4</v>
      </c>
      <c r="V10" s="56"/>
      <c r="W10" s="114"/>
      <c r="X10" s="117">
        <f>Poor!X10</f>
        <v>1</v>
      </c>
      <c r="Y10" s="184">
        <f t="shared" si="9"/>
        <v>0.11716391042533421</v>
      </c>
      <c r="Z10" s="124">
        <f>IF($Y10=0,0,AA10/$Y10)</f>
        <v>0.33672131238762609</v>
      </c>
      <c r="AA10" s="120">
        <f>IF($X10=1,IF(SUM(AA$6,AA$12:AA$21)&lt;1,IF((1-SUM(AA$6,AA$12:AA$21))*$M10/SUM($M$7*IF($X$7=1,1,0),$M$8*IF($X$8=1,1,0),$M$9*IF($X$9=1,1,0),$M$10*IF($X$10=1,1,0),$M$11*IF($X$11=1,1,0))&lt;Y10,(1-SUM(AA$6,AA$12:AA$21))*$M10/SUM($M$7*IF($X$7=1,1,0),$M$8*IF($X$8=1,1,0),$M$9*IF($X$9=1,1,0),$M$10*IF($X$10=1,1,0),$M$11*IF($X$11=1,1,0)),Y10),0),0)</f>
        <v>3.9451585682884802E-2</v>
      </c>
      <c r="AB10" s="124">
        <f>IF($Y10=0,0,AC10/$Y10)</f>
        <v>0.35278490966932236</v>
      </c>
      <c r="AC10" s="120">
        <f>IF($X10&lt;3,IF(SUM(AC$6,AC$12:AC$21)&lt;1,IF(SUM(AC$6,AC$12:AC$21)+SUM((Y$7-AA$7)*IF($X$7&lt;3,1,0),(Y$8-AA$8)*IF($X$8&lt;3,1,0),(Y$9-AA$9)*IF($X$9&lt;3,1,0),(Y$10-AA$10)*IF($X$10&lt;3,1,0),(Y$11-AA$11)*IF($X$11&lt;3,1,0))&lt;1,Y10-AA10,IF((1-SUM(AC$6,AC$12:AC$21))*$M10/SUM($M$7*IF($X$7&lt;3,1,0),$M$8*IF($X$8&lt;3,1,0),$M$9*IF($X$9&lt;3,1,0),$M$10*IF($X$10&lt;3,1,0),$M$11*IF($X$11&lt;3,1,0))&lt;Y10-AA10,(1-SUM(AC$6,AC$12:AC$21))*$M10/SUM($M$7*IF($X$7&lt;3,1,0),$M$8*IF($X$8&lt;3,1,0),$M$9*IF($X$9&lt;3,1,0),$M$10*IF($X$10&lt;3,1,0),$M$11*IF($X$11&lt;3,1,0)),Y10-AA10)),0),0)</f>
        <v>4.1333659555906108E-2</v>
      </c>
      <c r="AD10" s="124">
        <f>IF($Y10=0,0,AE10/$Y10)</f>
        <v>0.3104937779430515</v>
      </c>
      <c r="AE10" s="120">
        <f>IF($X10&lt;4,IF(SUM(AE$6:AE$6,AE$12:AE$21)&lt;1,IF(SUM(AE$6:AE$6,AE$12:AE$21)+SUM((Y$7-AA$7-AC$7)*IF($X$7&lt;3,1,0),(Y$8-AA$8-AC$8)*IF($X$8&lt;3,1,0),(Y$9-AA$9-AC$9)*IF($X$9&lt;3,1,0),(Y$10-AA$10-AC$10)*IF($X$10&lt;3,1,0),(Y$11-AA$11-AC$11)*IF($X$11&lt;3,1,0))&lt;1,Y10-AA10-AC10,IF((1-SUM(AE$6:AE$6,AE$12:AE$21))*$M10/SUM($M$7*IF($X$7&lt;4,1,0),$M$8*IF($X$8&lt;4,1,0),$M$9*IF($X$9&lt;4,1,0),$M$10*IF($X$10&lt;4,1,0),$M$11*IF($X$11&lt;4,1,0))&lt;Y10-AA10-AC10,(1-SUM(AE$6:AE$6,AE$12:AE$21))*$M10/SUM($M$7*IF($X$7&lt;4,1,0),$M$8*IF($X$8&lt;4,1,0),$M$9*IF($X$9&lt;4,1,0),$M$10*IF($X$10&lt;4,1,0),$M$11*IF($X$11&lt;4,1,0)),Y10-AA10-AC10)),0),0)</f>
        <v>3.6378665186543299E-2</v>
      </c>
      <c r="AF10" s="121">
        <f t="shared" si="10"/>
        <v>0</v>
      </c>
      <c r="AG10" s="120">
        <f t="shared" si="11"/>
        <v>0</v>
      </c>
      <c r="AH10" s="122">
        <f t="shared" si="12"/>
        <v>1</v>
      </c>
      <c r="AI10" s="184">
        <f t="shared" si="13"/>
        <v>2.9290977606333552E-2</v>
      </c>
      <c r="AJ10" s="119">
        <f t="shared" si="14"/>
        <v>4.0392622619395455E-2</v>
      </c>
      <c r="AK10" s="118">
        <f t="shared" si="15"/>
        <v>1.818933259327165E-2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Beans: kg produced</v>
      </c>
      <c r="B11" s="100">
        <f>IF([1]Summ!$J1049="",0,[1]Summ!$J1049)</f>
        <v>6.0095961145703619E-2</v>
      </c>
      <c r="C11" s="100">
        <f>IF([1]Summ!$K1049="",0,[1]Summ!$K1049)</f>
        <v>0</v>
      </c>
      <c r="D11" s="24">
        <f t="shared" si="0"/>
        <v>6.0095961145703619E-2</v>
      </c>
      <c r="E11" s="75">
        <f>Middle!E11</f>
        <v>1</v>
      </c>
      <c r="H11" s="24">
        <f t="shared" si="1"/>
        <v>1</v>
      </c>
      <c r="I11" s="22">
        <f t="shared" si="2"/>
        <v>6.0095961145703619E-2</v>
      </c>
      <c r="J11" s="24">
        <f t="shared" si="3"/>
        <v>6.0095961145703619E-2</v>
      </c>
      <c r="K11" s="22">
        <f t="shared" si="4"/>
        <v>6.0095961145703619E-2</v>
      </c>
      <c r="L11" s="22">
        <f t="shared" si="5"/>
        <v>6.0095961145703619E-2</v>
      </c>
      <c r="M11" s="226">
        <f t="shared" si="6"/>
        <v>6.0095961145703619E-2</v>
      </c>
      <c r="N11" s="231">
        <v>1</v>
      </c>
      <c r="O11" s="2"/>
      <c r="P11" s="22"/>
      <c r="Q11" s="59" t="s">
        <v>77</v>
      </c>
      <c r="R11" s="224">
        <f>IF($B$68=0,0,(SUMIF($N$6:$N$20,$U11,K$6:K$20)+SUMIF($N$78:$N$100,$U11,K$78:K$100))*$I$70*Poor!$B$68/$B$68)</f>
        <v>24333.120000000003</v>
      </c>
      <c r="S11" s="224">
        <f>IF($B$68=0,0,(SUMIF($N$6:$N$20,$U11,L$6:L$20)+SUMIF($N$78:$N$100,$U11,L$78:L$100))*$I$70*Poor!$B$68/$B$68)</f>
        <v>23926.140000000007</v>
      </c>
      <c r="T11" s="224">
        <f>IF($B$68=0,0,(SUMIF($N$6:$N$20,$U11,M$6:M$20)+SUMIF($N$78:$N$100,$U11,M$78:M$100))*$I$70*Poor!$B$68/$B$68)</f>
        <v>23803.976928991404</v>
      </c>
      <c r="U11" s="225">
        <v>5</v>
      </c>
      <c r="V11" s="56"/>
      <c r="W11" s="114"/>
      <c r="X11" s="117">
        <f>Poor!X11</f>
        <v>1</v>
      </c>
      <c r="Y11" s="184">
        <f t="shared" si="9"/>
        <v>0.24038384458281448</v>
      </c>
      <c r="Z11" s="124">
        <f>IF($Y11=0,0,AA11/$Y11)</f>
        <v>0.33672131238762615</v>
      </c>
      <c r="AA11" s="120">
        <f>IF($X11=1,IF(SUM(AA$6,AA$12:AA$21)&lt;1,IF((1-SUM(AA$6,AA$12:AA$21))*$M11/SUM($M$7*IF($X$7=1,1,0),$M$8*IF($X$8=1,1,0),$M$9*IF($X$9=1,1,0),$M$10*IF($X$10=1,1,0),$M$11*IF($X$11=1,1,0))&lt;Y11,(1-SUM(AA$6,AA$12:AA$21))*$M11/SUM($M$7*IF($X$7=1,1,0),$M$8*IF($X$8=1,1,0),$M$9*IF($X$9=1,1,0),$M$10*IF($X$10=1,1,0),$M$11*IF($X$11=1,1,0)),Y11),0),0)</f>
        <v>8.0942363624708441E-2</v>
      </c>
      <c r="AB11" s="124">
        <f>IF($Y11=0,0,AC11/$Y11)</f>
        <v>0.35278490966932241</v>
      </c>
      <c r="AC11" s="120">
        <f>IF($X11&lt;3,IF(SUM(AC$6,AC$12:AC$21)&lt;1,IF(SUM(AC$6,AC$12:AC$21)+SUM((Y$7-AA$7)*IF($X$7&lt;3,1,0),(Y$8-AA$8)*IF($X$8&lt;3,1,0),(Y$9-AA$9)*IF($X$9&lt;3,1,0),(Y$10-AA$10)*IF($X$10&lt;3,1,0),(Y$11-AA$11)*IF($X$11&lt;3,1,0))&lt;1,Y11-AA11,IF((1-SUM(AC$6,AC$12:AC$21))*$M11/SUM($M$7*IF($X$7&lt;3,1,0),$M$8*IF($X$8&lt;3,1,0),$M$9*IF($X$9&lt;3,1,0),$M$10*IF($X$10&lt;3,1,0),$M$11*IF($X$11&lt;3,1,0))&lt;Y11-AA11,(1-SUM(AC$6,AC$12:AC$21))*$M11/SUM($M$7*IF($X$7&lt;3,1,0),$M$8*IF($X$8&lt;3,1,0),$M$9*IF($X$9&lt;3,1,0),$M$10*IF($X$10&lt;3,1,0),$M$11*IF($X$11&lt;3,1,0)),Y11-AA11)),0),0)</f>
        <v>8.4803792897112637E-2</v>
      </c>
      <c r="AD11" s="124">
        <f>IF($Y11=0,0,AE11/$Y11)</f>
        <v>0.3104937779430515</v>
      </c>
      <c r="AE11" s="120">
        <f>IF($X11&lt;4,IF(SUM(AE$6:AE$6,AE$12:AE$21)&lt;1,IF(SUM(AE$6:AE$6,AE$12:AE$21)+SUM((Y$7-AA$7-AC$7)*IF($X$7&lt;3,1,0),(Y$8-AA$8-AC$8)*IF($X$8&lt;3,1,0),(Y$9-AA$9-AC$9)*IF($X$9&lt;3,1,0),(Y$10-AA$10-AC$10)*IF($X$10&lt;3,1,0),(Y$11-AA$11-AC$11)*IF($X$11&lt;3,1,0))&lt;1,Y11-AA11-AC11,IF((1-SUM(AE$6:AE$6,AE$12:AE$21))*$M11/SUM($M$7*IF($X$7&lt;4,1,0),$M$8*IF($X$8&lt;4,1,0),$M$9*IF($X$9&lt;4,1,0),$M$10*IF($X$10&lt;4,1,0),$M$11*IF($X$11&lt;4,1,0))&lt;Y11-AA11-AC11,(1-SUM(AE$6:AE$6,AE$12:AE$21))*$M11/SUM($M$7*IF($X$7&lt;4,1,0),$M$8*IF($X$8&lt;4,1,0),$M$9*IF($X$9&lt;4,1,0),$M$10*IF($X$10&lt;4,1,0),$M$11*IF($X$11&lt;4,1,0)),Y11-AA11-AC11)),0),0)</f>
        <v>7.4637688060993398E-2</v>
      </c>
      <c r="AF11" s="121">
        <f t="shared" si="10"/>
        <v>0</v>
      </c>
      <c r="AG11" s="120">
        <f t="shared" si="11"/>
        <v>0</v>
      </c>
      <c r="AH11" s="122">
        <f t="shared" si="12"/>
        <v>1</v>
      </c>
      <c r="AI11" s="184">
        <f t="shared" si="13"/>
        <v>6.0095961145703619E-2</v>
      </c>
      <c r="AJ11" s="119">
        <f t="shared" si="14"/>
        <v>8.2873078260910532E-2</v>
      </c>
      <c r="AK11" s="118">
        <f t="shared" si="15"/>
        <v>3.7318844030496699E-2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Pumpkin: kg produce</v>
      </c>
      <c r="B12" s="100">
        <f>IF([1]Summ!$J1050="",0,[1]Summ!$J1050)</f>
        <v>4.7011207970112075E-3</v>
      </c>
      <c r="C12" s="100">
        <f>IF([1]Summ!$K1050="",0,[1]Summ!$K1050)</f>
        <v>1.4103362391033623E-2</v>
      </c>
      <c r="D12" s="24">
        <f t="shared" si="0"/>
        <v>1.880448318804483E-2</v>
      </c>
      <c r="E12" s="75">
        <f>Middle!E12</f>
        <v>1</v>
      </c>
      <c r="H12" s="24">
        <f t="shared" si="1"/>
        <v>1</v>
      </c>
      <c r="I12" s="22">
        <f t="shared" si="2"/>
        <v>1.880448318804483E-2</v>
      </c>
      <c r="J12" s="24">
        <f t="shared" si="3"/>
        <v>4.629111268468958E-3</v>
      </c>
      <c r="K12" s="22">
        <f t="shared" si="4"/>
        <v>4.7011207970112075E-3</v>
      </c>
      <c r="L12" s="22">
        <f t="shared" si="5"/>
        <v>4.7011207970112075E-3</v>
      </c>
      <c r="M12" s="226">
        <f t="shared" si="6"/>
        <v>4.629111268468958E-3</v>
      </c>
      <c r="N12" s="231">
        <v>1</v>
      </c>
      <c r="O12" s="2"/>
      <c r="P12" s="22"/>
      <c r="Q12" s="125" t="s">
        <v>126</v>
      </c>
      <c r="R12" s="224">
        <f>IF($B$68=0,0,(SUMIF($N$6:$N$20,$U12,K$6:K$20)+SUMIF($N$78:$N$100,$U12,K$78:K$100))*$I$70*Poor!$B$68/$B$68)</f>
        <v>0</v>
      </c>
      <c r="S12" s="224">
        <f>IF($B$68=0,0,(SUMIF($N$6:$N$20,$U12,L$6:L$20)+SUMIF($N$78:$N$100,$U12,L$78:L$100))*$I$70*Poor!$B$68/$B$68)</f>
        <v>0</v>
      </c>
      <c r="T12" s="224">
        <f>IF($B$68=0,0,(SUMIF($N$6:$N$20,$U12,M$6:M$20)+SUMIF($N$78:$N$100,$U12,M$78:M$100))*$I$70*Poor!$B$68/$B$68)</f>
        <v>0</v>
      </c>
      <c r="U12" s="225">
        <v>6</v>
      </c>
      <c r="V12" s="56"/>
      <c r="W12" s="116"/>
      <c r="X12" s="117"/>
      <c r="Y12" s="184">
        <f t="shared" si="9"/>
        <v>1.8516445073875832E-2</v>
      </c>
      <c r="Z12" s="155">
        <f>Poor!Z12</f>
        <v>0</v>
      </c>
      <c r="AA12" s="120">
        <f>$M12*Z12*4</f>
        <v>0</v>
      </c>
      <c r="AB12" s="155">
        <f>Poor!AB12</f>
        <v>0</v>
      </c>
      <c r="AC12" s="120">
        <f>$M12*AB12*4</f>
        <v>0</v>
      </c>
      <c r="AD12" s="155">
        <f>Poor!AD12</f>
        <v>0.67</v>
      </c>
      <c r="AE12" s="120">
        <f>$M12*AD12*4</f>
        <v>1.2406018199496808E-2</v>
      </c>
      <c r="AF12" s="121">
        <f>1-SUM(Z12,AB12,AD12)</f>
        <v>0.32999999999999996</v>
      </c>
      <c r="AG12" s="120">
        <f>$M12*AF12*4</f>
        <v>6.1104268743790236E-3</v>
      </c>
      <c r="AH12" s="122">
        <f t="shared" si="12"/>
        <v>1</v>
      </c>
      <c r="AI12" s="184">
        <f t="shared" si="13"/>
        <v>4.629111268468958E-3</v>
      </c>
      <c r="AJ12" s="119">
        <f t="shared" si="14"/>
        <v>0</v>
      </c>
      <c r="AK12" s="118">
        <f t="shared" si="15"/>
        <v>9.258222536937916E-3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Water melon: no. local meas</v>
      </c>
      <c r="B13" s="100">
        <f>IF([1]Summ!$J1051="",0,[1]Summ!$J1051)</f>
        <v>1.4252801992528021E-2</v>
      </c>
      <c r="C13" s="100">
        <f>IF([1]Summ!$K1051="",0,[1]Summ!$K1051)</f>
        <v>0</v>
      </c>
      <c r="D13" s="24">
        <f t="shared" si="0"/>
        <v>1.4252801992528021E-2</v>
      </c>
      <c r="E13" s="75">
        <f>Middle!E13</f>
        <v>1</v>
      </c>
      <c r="H13" s="24">
        <f t="shared" si="1"/>
        <v>1</v>
      </c>
      <c r="I13" s="22">
        <f t="shared" si="2"/>
        <v>1.4252801992528021E-2</v>
      </c>
      <c r="J13" s="24">
        <f t="shared" si="3"/>
        <v>1.4252801992528021E-2</v>
      </c>
      <c r="K13" s="22">
        <f t="shared" si="4"/>
        <v>1.4252801992528021E-2</v>
      </c>
      <c r="L13" s="22">
        <f t="shared" si="5"/>
        <v>1.4252801992528021E-2</v>
      </c>
      <c r="M13" s="227">
        <f t="shared" si="6"/>
        <v>1.4252801992528021E-2</v>
      </c>
      <c r="N13" s="231">
        <v>1</v>
      </c>
      <c r="O13" s="2"/>
      <c r="P13" s="22"/>
      <c r="Q13" s="59" t="s">
        <v>78</v>
      </c>
      <c r="R13" s="224">
        <f>IF($B$68=0,0,(SUMIF($N$6:$N$20,$U13,K$6:K$20)+SUMIF($N$78:$N$100,$U13,K$78:K$100))*$I$70*Poor!$B$68/$B$68)</f>
        <v>0</v>
      </c>
      <c r="S13" s="224">
        <f>IF($B$68=0,0,(SUMIF($N$6:$N$20,$U13,L$6:L$20)+SUMIF($N$78:$N$100,$U13,L$78:L$100))*$I$70*Poor!$B$68/$B$68)</f>
        <v>0</v>
      </c>
      <c r="T13" s="224">
        <f>IF($B$68=0,0,(SUMIF($N$6:$N$20,$U13,M$6:M$20)+SUMIF($N$78:$N$100,$U13,M$78:M$100))*$I$70*Poor!$B$68/$B$68)</f>
        <v>0</v>
      </c>
      <c r="U13" s="225">
        <v>7</v>
      </c>
      <c r="V13" s="56"/>
      <c r="W13" s="109"/>
      <c r="X13" s="117"/>
      <c r="Y13" s="184">
        <f t="shared" si="9"/>
        <v>5.7011207970112082E-2</v>
      </c>
      <c r="Z13" s="155">
        <f>Poor!Z13</f>
        <v>1</v>
      </c>
      <c r="AA13" s="120">
        <f>$M13*Z13*4</f>
        <v>5.7011207970112082E-2</v>
      </c>
      <c r="AB13" s="155">
        <f>Poor!AB13</f>
        <v>0</v>
      </c>
      <c r="AC13" s="120">
        <f>$M13*AB13*4</f>
        <v>0</v>
      </c>
      <c r="AD13" s="155">
        <f>Poor!AD13</f>
        <v>0</v>
      </c>
      <c r="AE13" s="120">
        <f>$M13*AD13*4</f>
        <v>0</v>
      </c>
      <c r="AF13" s="121">
        <f>1-SUM(Z13,AB13,AD13)</f>
        <v>0</v>
      </c>
      <c r="AG13" s="120">
        <f>$M13*AF13*4</f>
        <v>0</v>
      </c>
      <c r="AH13" s="122">
        <f t="shared" si="12"/>
        <v>1</v>
      </c>
      <c r="AI13" s="184">
        <f t="shared" si="13"/>
        <v>1.4252801992528021E-2</v>
      </c>
      <c r="AJ13" s="119">
        <f t="shared" si="14"/>
        <v>2.8505603985056041E-2</v>
      </c>
      <c r="AK13" s="118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Sweet potato: no. local meas</v>
      </c>
      <c r="B14" s="100">
        <f>IF([1]Summ!$J1052="",0,[1]Summ!$J1052)</f>
        <v>8.9103362391033634E-3</v>
      </c>
      <c r="C14" s="100">
        <f>IF([1]Summ!$K1052="",0,[1]Summ!$K1052)</f>
        <v>0</v>
      </c>
      <c r="D14" s="24">
        <f t="shared" si="0"/>
        <v>8.9103362391033634E-3</v>
      </c>
      <c r="E14" s="75">
        <f>Middle!E14</f>
        <v>1</v>
      </c>
      <c r="F14" s="22"/>
      <c r="H14" s="24">
        <f t="shared" si="1"/>
        <v>1</v>
      </c>
      <c r="I14" s="22">
        <f t="shared" si="2"/>
        <v>8.9103362391033634E-3</v>
      </c>
      <c r="J14" s="24">
        <f>IF(I$24&lt;=1+I113,I14,B14*H14+J$25*(I14-B14*H14))</f>
        <v>8.9103362391033634E-3</v>
      </c>
      <c r="K14" s="22">
        <f t="shared" si="4"/>
        <v>8.9103362391033634E-3</v>
      </c>
      <c r="L14" s="22">
        <f t="shared" si="5"/>
        <v>8.9103362391033634E-3</v>
      </c>
      <c r="M14" s="227">
        <f t="shared" si="6"/>
        <v>8.9103362391033634E-3</v>
      </c>
      <c r="N14" s="231">
        <v>1</v>
      </c>
      <c r="O14" s="2"/>
      <c r="P14" s="22"/>
      <c r="Q14" s="125" t="s">
        <v>79</v>
      </c>
      <c r="R14" s="224">
        <f>IF($B$68=0,0,(SUMIF($N$6:$N$20,$U14,K$6:K$20)+SUMIF($N$78:$N$100,$U14,K$78:K$100))*$I$70*Poor!$B$68/$B$68)</f>
        <v>274176.00000000006</v>
      </c>
      <c r="S14" s="224">
        <f>IF($B$68=0,0,(SUMIF($N$6:$N$20,$U14,L$6:L$20)+SUMIF($N$78:$N$100,$U14,L$78:L$100))*$I$70*Poor!$B$68/$B$68)</f>
        <v>261936</v>
      </c>
      <c r="T14" s="224">
        <f>IF($B$68=0,0,(SUMIF($N$6:$N$20,$U14,M$6:M$20)+SUMIF($N$78:$N$100,$U14,M$78:M$100))*$I$70*Poor!$B$68/$B$68)</f>
        <v>260598.59638338201</v>
      </c>
      <c r="U14" s="225">
        <v>8</v>
      </c>
      <c r="V14" s="56"/>
      <c r="W14" s="109"/>
      <c r="X14" s="117"/>
      <c r="Y14" s="184">
        <f>M14*4</f>
        <v>3.5641344956413454E-2</v>
      </c>
      <c r="Z14" s="155">
        <f>Poor!Z14</f>
        <v>0</v>
      </c>
      <c r="AA14" s="120">
        <f t="shared" ref="AA14:AA21" si="16">$M14*Z14*4</f>
        <v>0</v>
      </c>
      <c r="AB14" s="155">
        <f>Poor!AB14</f>
        <v>1</v>
      </c>
      <c r="AC14" s="120">
        <f t="shared" si="7"/>
        <v>3.5641344956413454E-2</v>
      </c>
      <c r="AD14" s="155">
        <f>Poor!AD14</f>
        <v>0</v>
      </c>
      <c r="AE14" s="120">
        <f t="shared" si="8"/>
        <v>0</v>
      </c>
      <c r="AF14" s="121">
        <f t="shared" si="10"/>
        <v>0</v>
      </c>
      <c r="AG14" s="120">
        <f t="shared" si="11"/>
        <v>0</v>
      </c>
      <c r="AH14" s="127">
        <f>SUM(Z14,AB14,AD14,AF14)</f>
        <v>1</v>
      </c>
      <c r="AI14" s="184">
        <f>SUM(AA14,AC14,AE14,AG14)/4</f>
        <v>8.9103362391033634E-3</v>
      </c>
      <c r="AJ14" s="119">
        <f t="shared" si="14"/>
        <v>1.7820672478206727E-2</v>
      </c>
      <c r="AK14" s="118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Groundnuts (dry): no. local meas</v>
      </c>
      <c r="B15" s="100">
        <f>IF([1]Summ!$J1053="",0,[1]Summ!$J1053)</f>
        <v>6.943414146948941E-2</v>
      </c>
      <c r="C15" s="100">
        <f>IF([1]Summ!$K1053="",0,[1]Summ!$K1053)</f>
        <v>0</v>
      </c>
      <c r="D15" s="24">
        <f t="shared" si="0"/>
        <v>6.943414146948941E-2</v>
      </c>
      <c r="E15" s="75">
        <f>Middle!E15</f>
        <v>1</v>
      </c>
      <c r="F15" s="22"/>
      <c r="H15" s="24">
        <f t="shared" si="1"/>
        <v>1</v>
      </c>
      <c r="I15" s="22">
        <f t="shared" si="2"/>
        <v>6.943414146948941E-2</v>
      </c>
      <c r="J15" s="24">
        <f>IF(I$24&lt;=1+I113,I15,B15*H15+J$25*(I15-B15*H15))</f>
        <v>6.943414146948941E-2</v>
      </c>
      <c r="K15" s="22">
        <f t="shared" si="4"/>
        <v>6.943414146948941E-2</v>
      </c>
      <c r="L15" s="22">
        <f t="shared" si="5"/>
        <v>6.943414146948941E-2</v>
      </c>
      <c r="M15" s="228">
        <f t="shared" si="6"/>
        <v>6.943414146948941E-2</v>
      </c>
      <c r="N15" s="231">
        <v>1</v>
      </c>
      <c r="O15" s="2"/>
      <c r="P15" s="22"/>
      <c r="Q15" s="59" t="s">
        <v>128</v>
      </c>
      <c r="R15" s="224">
        <f>IF($B$68=0,0,(SUMIF($N$6:$N$20,$U15,K$6:K$20)+SUMIF($N$78:$N$100,$U15,K$78:K$100))*$I$70*Poor!$B$68/$B$68)</f>
        <v>0</v>
      </c>
      <c r="S15" s="224">
        <f>IF($B$68=0,0,(SUMIF($N$6:$N$20,$U15,L$6:L$20)+SUMIF($N$78:$N$100,$U15,L$78:L$100))*$I$70*Poor!$B$68/$B$68)</f>
        <v>0</v>
      </c>
      <c r="T15" s="224">
        <f>IF($B$68=0,0,(SUMIF($N$6:$N$20,$U15,M$6:M$20)+SUMIF($N$78:$N$100,$U15,M$78:M$100))*$I$70*Poor!$B$68/$B$68)</f>
        <v>0</v>
      </c>
      <c r="U15" s="225">
        <v>9</v>
      </c>
      <c r="V15" s="56"/>
      <c r="W15" s="109"/>
      <c r="X15" s="117"/>
      <c r="Y15" s="184">
        <f t="shared" si="9"/>
        <v>0.27773656587795764</v>
      </c>
      <c r="Z15" s="155">
        <f>Poor!Z15</f>
        <v>0.25</v>
      </c>
      <c r="AA15" s="120">
        <f t="shared" si="16"/>
        <v>6.943414146948941E-2</v>
      </c>
      <c r="AB15" s="155">
        <f>Poor!AB15</f>
        <v>0.25</v>
      </c>
      <c r="AC15" s="120">
        <f t="shared" si="7"/>
        <v>6.943414146948941E-2</v>
      </c>
      <c r="AD15" s="155">
        <f>Poor!AD15</f>
        <v>0.25</v>
      </c>
      <c r="AE15" s="120">
        <f t="shared" si="8"/>
        <v>6.943414146948941E-2</v>
      </c>
      <c r="AF15" s="121">
        <f t="shared" si="10"/>
        <v>0.25</v>
      </c>
      <c r="AG15" s="120">
        <f t="shared" si="11"/>
        <v>6.943414146948941E-2</v>
      </c>
      <c r="AH15" s="122">
        <f t="shared" si="12"/>
        <v>1</v>
      </c>
      <c r="AI15" s="184">
        <f t="shared" si="13"/>
        <v>6.943414146948941E-2</v>
      </c>
      <c r="AJ15" s="119">
        <f t="shared" si="14"/>
        <v>6.943414146948941E-2</v>
      </c>
      <c r="AK15" s="118">
        <f t="shared" si="15"/>
        <v>6.943414146948941E-2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WILD FOODS -- see worksheet Data 3</v>
      </c>
      <c r="B16" s="100">
        <f>IF([1]Summ!$J1054="",0,[1]Summ!$J1054)</f>
        <v>0</v>
      </c>
      <c r="C16" s="100">
        <f>IF([1]Summ!$K1054="",0,[1]Summ!$K1054)</f>
        <v>0</v>
      </c>
      <c r="D16" s="24">
        <f t="shared" si="0"/>
        <v>0</v>
      </c>
      <c r="E16" s="75">
        <f>Middle!E16</f>
        <v>0.8</v>
      </c>
      <c r="F16" s="22"/>
      <c r="H16" s="24">
        <f t="shared" si="1"/>
        <v>0.8</v>
      </c>
      <c r="I16" s="22">
        <f t="shared" si="2"/>
        <v>0</v>
      </c>
      <c r="J16" s="24">
        <f>IF(I$24&lt;=1+I113,I16,B16*H16+J$25*(I16-B16*H16))</f>
        <v>0</v>
      </c>
      <c r="K16" s="22">
        <f t="shared" si="4"/>
        <v>0</v>
      </c>
      <c r="L16" s="22">
        <f t="shared" si="5"/>
        <v>0</v>
      </c>
      <c r="M16" s="226">
        <f t="shared" si="6"/>
        <v>0</v>
      </c>
      <c r="N16" s="231">
        <v>6</v>
      </c>
      <c r="O16" s="2"/>
      <c r="P16" s="22"/>
      <c r="Q16" s="125" t="s">
        <v>80</v>
      </c>
      <c r="R16" s="224">
        <f>IF($B$68=0,0,(SUMIF($N$6:$N$20,$U16,K$6:K$20)+SUMIF($N$78:$N$100,$U16,K$78:K$100))*$I$70*Poor!$B$68/$B$68)</f>
        <v>8064.0000000000027</v>
      </c>
      <c r="S16" s="224">
        <f>IF($B$68=0,0,(SUMIF($N$6:$N$20,$U16,L$6:L$20)+SUMIF($N$78:$N$100,$U16,L$78:L$100))*$I$70*Poor!$B$68/$B$68)</f>
        <v>7920.0000000000027</v>
      </c>
      <c r="T16" s="224">
        <f>IF($B$68=0,0,(SUMIF($N$6:$N$20,$U16,M$6:M$20)+SUMIF($N$78:$N$100,$U16,M$78:M$100))*$I$70*Poor!$B$68/$B$68)</f>
        <v>7879.5617378152911</v>
      </c>
      <c r="U16" s="225">
        <v>10</v>
      </c>
      <c r="V16" s="56"/>
      <c r="W16" s="109"/>
      <c r="X16" s="117"/>
      <c r="Y16" s="184">
        <f t="shared" si="9"/>
        <v>0</v>
      </c>
      <c r="Z16" s="155">
        <f>Poor!Z16</f>
        <v>0</v>
      </c>
      <c r="AA16" s="120">
        <f t="shared" si="16"/>
        <v>0</v>
      </c>
      <c r="AB16" s="155">
        <f>Poor!AB16</f>
        <v>0</v>
      </c>
      <c r="AC16" s="120">
        <f t="shared" si="7"/>
        <v>0</v>
      </c>
      <c r="AD16" s="155">
        <f>Poor!AD16</f>
        <v>0</v>
      </c>
      <c r="AE16" s="120">
        <f t="shared" si="8"/>
        <v>0</v>
      </c>
      <c r="AF16" s="121">
        <f t="shared" si="10"/>
        <v>1</v>
      </c>
      <c r="AG16" s="120">
        <f t="shared" si="11"/>
        <v>0</v>
      </c>
      <c r="AH16" s="122">
        <f t="shared" si="12"/>
        <v>1</v>
      </c>
      <c r="AI16" s="184">
        <f t="shared" si="13"/>
        <v>0</v>
      </c>
      <c r="AJ16" s="119">
        <f t="shared" si="14"/>
        <v>0</v>
      </c>
      <c r="AK16" s="118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Labour: Harvesting</v>
      </c>
      <c r="B17" s="100">
        <f>IF([1]Summ!$J1055="",0,[1]Summ!$J1055)</f>
        <v>0</v>
      </c>
      <c r="C17" s="100">
        <f>IF([1]Summ!$K1055="",0,[1]Summ!$K1055)</f>
        <v>0</v>
      </c>
      <c r="D17" s="24">
        <f t="shared" si="0"/>
        <v>0</v>
      </c>
      <c r="E17" s="75">
        <f>Middle!E17</f>
        <v>0.87</v>
      </c>
      <c r="F17" s="22"/>
      <c r="H17" s="24">
        <f t="shared" si="1"/>
        <v>0.87</v>
      </c>
      <c r="I17" s="22">
        <f t="shared" si="2"/>
        <v>0</v>
      </c>
      <c r="J17" s="24">
        <f>IF(I$24&lt;=1+I113,I17,B17*H17+J$25*(I17-B17*H17))</f>
        <v>0</v>
      </c>
      <c r="K17" s="22">
        <f t="shared" si="4"/>
        <v>0</v>
      </c>
      <c r="L17" s="22">
        <f t="shared" si="5"/>
        <v>0</v>
      </c>
      <c r="M17" s="227">
        <f t="shared" si="6"/>
        <v>0</v>
      </c>
      <c r="N17" s="231">
        <v>7</v>
      </c>
      <c r="O17" s="2"/>
      <c r="P17" s="22"/>
      <c r="Q17" s="125" t="s">
        <v>127</v>
      </c>
      <c r="R17" s="224">
        <f>IF($B$68=0,0,(SUMIF($N$6:$N$20,$U17,K$6:K$20)+SUMIF($N$78:$N$100,$U17,K$78:K$100))*$I$70*Poor!$B$68/$B$68)</f>
        <v>19353.600000000002</v>
      </c>
      <c r="S17" s="224">
        <f>IF($B$68=0,0,(SUMIF($N$6:$N$20,$U17,L$6:L$20)+SUMIF($N$78:$N$100,$U17,L$78:L$100))*$I$70*Poor!$B$68/$B$68)</f>
        <v>18144.000000000004</v>
      </c>
      <c r="T17" s="224">
        <f>IF($B$68=0,0,(SUMIF($N$6:$N$20,$U17,M$6:M$20)+SUMIF($N$78:$N$100,$U17,M$78:M$100))*$I$70*Poor!$B$68/$B$68)</f>
        <v>18051.359617540478</v>
      </c>
      <c r="U17" s="225">
        <v>11</v>
      </c>
      <c r="V17" s="56"/>
      <c r="W17" s="109"/>
      <c r="X17" s="117"/>
      <c r="Y17" s="184">
        <f t="shared" si="9"/>
        <v>0</v>
      </c>
      <c r="Z17" s="155">
        <f>Poor!Z17</f>
        <v>0.29409999999999997</v>
      </c>
      <c r="AA17" s="120">
        <f t="shared" si="16"/>
        <v>0</v>
      </c>
      <c r="AB17" s="155">
        <f>Poor!AB17</f>
        <v>0.17649999999999999</v>
      </c>
      <c r="AC17" s="120">
        <f t="shared" si="7"/>
        <v>0</v>
      </c>
      <c r="AD17" s="155">
        <f>Poor!AD17</f>
        <v>0.23530000000000001</v>
      </c>
      <c r="AE17" s="120">
        <f t="shared" si="8"/>
        <v>0</v>
      </c>
      <c r="AF17" s="121">
        <f t="shared" si="10"/>
        <v>0.29410000000000003</v>
      </c>
      <c r="AG17" s="120">
        <f t="shared" si="11"/>
        <v>0</v>
      </c>
      <c r="AH17" s="122">
        <f t="shared" si="12"/>
        <v>1</v>
      </c>
      <c r="AI17" s="184">
        <f t="shared" si="13"/>
        <v>0</v>
      </c>
      <c r="AJ17" s="119">
        <f t="shared" si="14"/>
        <v>0</v>
      </c>
      <c r="AK17" s="118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Food aid</v>
      </c>
      <c r="B18" s="100">
        <f>IF([1]Summ!$J1056="",0,[1]Summ!$J1056)</f>
        <v>0</v>
      </c>
      <c r="C18" s="100">
        <f>IF([1]Summ!$K1056="",0,[1]Summ!$K1056)</f>
        <v>0</v>
      </c>
      <c r="D18" s="24">
        <f t="shared" si="0"/>
        <v>0</v>
      </c>
      <c r="E18" s="75">
        <f>Middle!E18</f>
        <v>1</v>
      </c>
      <c r="F18" s="22"/>
      <c r="H18" s="24">
        <f t="shared" si="1"/>
        <v>1</v>
      </c>
      <c r="I18" s="22">
        <f t="shared" si="2"/>
        <v>0</v>
      </c>
      <c r="J18" s="24">
        <f>IF(I$24&lt;=1+I113,I18,B18*H18+J$25*(I18-B18*H18))</f>
        <v>0</v>
      </c>
      <c r="K18" s="22">
        <f t="shared" si="4"/>
        <v>0</v>
      </c>
      <c r="L18" s="22">
        <f t="shared" si="5"/>
        <v>0</v>
      </c>
      <c r="M18" s="226">
        <f t="shared" si="6"/>
        <v>0</v>
      </c>
      <c r="N18" s="231">
        <v>12</v>
      </c>
      <c r="O18" s="2"/>
      <c r="P18" s="22"/>
      <c r="Q18" s="59" t="s">
        <v>81</v>
      </c>
      <c r="R18" s="224">
        <f>IF($B$68=0,0,(SUMIF($N$6:$N$20,$U18,K$6:K$20)+SUMIF($N$78:$N$100,$U18,K$78:K$100))*$I$70*Poor!$B$68/$B$68)</f>
        <v>0</v>
      </c>
      <c r="S18" s="224">
        <f>IF($B$68=0,0,(SUMIF($N$6:$N$20,$U18,L$6:L$20)+SUMIF($N$78:$N$100,$U18,L$78:L$100))*$I$70*Poor!$B$68/$B$68)</f>
        <v>0</v>
      </c>
      <c r="T18" s="224">
        <f>IF($B$68=0,0,(SUMIF($N$6:$N$20,$U18,M$6:M$20)+SUMIF($N$78:$N$100,$U18,M$78:M$100))*$I$70*Poor!$B$68/$B$68)</f>
        <v>0</v>
      </c>
      <c r="U18" s="225">
        <v>12</v>
      </c>
      <c r="V18" s="56"/>
      <c r="W18" s="109"/>
      <c r="X18" s="117"/>
      <c r="Y18" s="184">
        <f t="shared" si="9"/>
        <v>0</v>
      </c>
      <c r="Z18" s="155">
        <f>Poor!Z18</f>
        <v>0.25</v>
      </c>
      <c r="AA18" s="120">
        <f t="shared" si="16"/>
        <v>0</v>
      </c>
      <c r="AB18" s="155">
        <f>Poor!AB18</f>
        <v>0.25</v>
      </c>
      <c r="AC18" s="120">
        <f t="shared" si="7"/>
        <v>0</v>
      </c>
      <c r="AD18" s="155">
        <f>Poor!AD18</f>
        <v>0.25</v>
      </c>
      <c r="AE18" s="120">
        <f t="shared" si="8"/>
        <v>0</v>
      </c>
      <c r="AF18" s="121">
        <f t="shared" si="10"/>
        <v>0.25</v>
      </c>
      <c r="AG18" s="120">
        <f t="shared" si="11"/>
        <v>0</v>
      </c>
      <c r="AH18" s="122">
        <f t="shared" si="12"/>
        <v>1</v>
      </c>
      <c r="AI18" s="184">
        <f t="shared" si="13"/>
        <v>0</v>
      </c>
      <c r="AJ18" s="119">
        <f t="shared" si="14"/>
        <v>0</v>
      </c>
      <c r="AK18" s="118">
        <f t="shared" si="15"/>
        <v>0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Purchase - other food</v>
      </c>
      <c r="B19" s="100">
        <f>IF([1]Summ!$J1057="",0,[1]Summ!$J1057)</f>
        <v>5.4746450809464504E-2</v>
      </c>
      <c r="C19" s="100">
        <f>IF([1]Summ!$K1057="",0,[1]Summ!$K1057)</f>
        <v>-5.4746450809464504E-2</v>
      </c>
      <c r="D19" s="24">
        <f t="shared" si="0"/>
        <v>0</v>
      </c>
      <c r="E19" s="75">
        <f>Middle!E19</f>
        <v>1</v>
      </c>
      <c r="F19" s="22"/>
      <c r="H19" s="24">
        <f t="shared" si="1"/>
        <v>1</v>
      </c>
      <c r="I19" s="22">
        <f t="shared" si="2"/>
        <v>0</v>
      </c>
      <c r="J19" s="24">
        <f>IF(I$24&lt;=1+I113,I19,B19*H19+J$25*(I19-B19*H19))</f>
        <v>5.5025977492736668E-2</v>
      </c>
      <c r="K19" s="22">
        <f t="shared" si="4"/>
        <v>5.4746450809464504E-2</v>
      </c>
      <c r="L19" s="22">
        <f t="shared" si="5"/>
        <v>5.4746450809464504E-2</v>
      </c>
      <c r="M19" s="228">
        <f t="shared" si="6"/>
        <v>5.5025977492736668E-2</v>
      </c>
      <c r="N19" s="231"/>
      <c r="O19" s="2"/>
      <c r="P19" s="22"/>
      <c r="Q19" s="59" t="s">
        <v>82</v>
      </c>
      <c r="R19" s="224">
        <f>IF($B$68=0,0,(SUMIF($N$6:$N$20,$U19,K$6:K$20)+SUMIF($N$78:$N$100,$U19,K$78:K$100))*$I$70*Poor!$B$68/$B$68)</f>
        <v>0</v>
      </c>
      <c r="S19" s="224">
        <f>IF($B$68=0,0,(SUMIF($N$6:$N$20,$U19,L$6:L$20)+SUMIF($N$78:$N$100,$U19,L$78:L$100))*$I$70*Poor!$B$68/$B$68)</f>
        <v>0</v>
      </c>
      <c r="T19" s="224">
        <f>IF($B$68=0,0,(SUMIF($N$6:$N$20,$U19,M$6:M$20)+SUMIF($N$78:$N$100,$U19,M$78:M$100))*$I$70*Poor!$B$68/$B$68)</f>
        <v>0</v>
      </c>
      <c r="U19" s="225">
        <v>13</v>
      </c>
      <c r="V19" s="56"/>
      <c r="W19" s="109"/>
      <c r="X19" s="117"/>
      <c r="Y19" s="184">
        <f t="shared" si="9"/>
        <v>0.22010390997094667</v>
      </c>
      <c r="Z19" s="155">
        <f>Poor!Z19</f>
        <v>0.25</v>
      </c>
      <c r="AA19" s="120">
        <f t="shared" si="16"/>
        <v>5.5025977492736668E-2</v>
      </c>
      <c r="AB19" s="155">
        <f>Poor!AB19</f>
        <v>0.25</v>
      </c>
      <c r="AC19" s="120">
        <f t="shared" si="7"/>
        <v>5.5025977492736668E-2</v>
      </c>
      <c r="AD19" s="155">
        <f>Poor!AD19</f>
        <v>0.25</v>
      </c>
      <c r="AE19" s="120">
        <f t="shared" si="8"/>
        <v>5.5025977492736668E-2</v>
      </c>
      <c r="AF19" s="121">
        <f t="shared" si="10"/>
        <v>0.25</v>
      </c>
      <c r="AG19" s="120">
        <f t="shared" si="11"/>
        <v>5.5025977492736668E-2</v>
      </c>
      <c r="AH19" s="122">
        <f t="shared" si="12"/>
        <v>1</v>
      </c>
      <c r="AI19" s="184">
        <f t="shared" si="13"/>
        <v>5.5025977492736668E-2</v>
      </c>
      <c r="AJ19" s="119">
        <f t="shared" si="14"/>
        <v>5.5025977492736668E-2</v>
      </c>
      <c r="AK19" s="118">
        <f t="shared" si="15"/>
        <v>5.5025977492736668E-2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Purchase - desirable</v>
      </c>
      <c r="B20" s="100">
        <f>IF([1]Summ!$J1058="",0,[1]Summ!$J1058)</f>
        <v>0</v>
      </c>
      <c r="C20" s="100">
        <f>IF([1]Summ!$K1058="",0,[1]Summ!$K1058)</f>
        <v>0</v>
      </c>
      <c r="D20" s="24">
        <f t="shared" si="0"/>
        <v>0</v>
      </c>
      <c r="E20" s="75">
        <f>Middle!E20</f>
        <v>1</v>
      </c>
      <c r="F20" s="22"/>
      <c r="H20" s="24">
        <f t="shared" si="1"/>
        <v>1</v>
      </c>
      <c r="I20" s="22">
        <f t="shared" si="2"/>
        <v>0</v>
      </c>
      <c r="J20" s="24">
        <f>IF(I$24&lt;=1+I113,I20,B20*H20+J$25*(I20-B20*H20))</f>
        <v>0</v>
      </c>
      <c r="K20" s="22">
        <f t="shared" si="4"/>
        <v>0</v>
      </c>
      <c r="L20" s="22">
        <f t="shared" si="5"/>
        <v>0</v>
      </c>
      <c r="M20" s="226">
        <f t="shared" si="6"/>
        <v>0</v>
      </c>
      <c r="N20" s="231"/>
      <c r="O20" s="2"/>
      <c r="P20" s="22"/>
      <c r="Q20" s="59" t="s">
        <v>83</v>
      </c>
      <c r="R20" s="224">
        <f>IF($B$68=0,0,(SUMIF($N$6:$N$20,$U20,K$6:K$20)+SUMIF($N$78:$N$100,$U20,K$78:K$100))*$I$70*Poor!$B$68/$B$68)</f>
        <v>10858.073924050634</v>
      </c>
      <c r="S20" s="224">
        <f>IF($B$68=0,0,(SUMIF($N$6:$N$20,$U20,L$6:L$20)+SUMIF($N$78:$N$100,$U20,L$78:L$100))*$I$70*Poor!$B$68/$B$68)</f>
        <v>10761.126835443043</v>
      </c>
      <c r="T20" s="224">
        <f>IF($B$68=0,0,(SUMIF($N$6:$N$20,$U20,M$6:M$20)+SUMIF($N$78:$N$100,$U20,M$78:M$100))*$I$70*Poor!$B$68/$B$68)</f>
        <v>10706.182230850292</v>
      </c>
      <c r="U20" s="225">
        <v>14</v>
      </c>
      <c r="V20" s="56"/>
      <c r="W20" s="109"/>
      <c r="X20" s="117"/>
      <c r="Y20" s="184">
        <f t="shared" si="9"/>
        <v>0</v>
      </c>
      <c r="Z20" s="155">
        <f>Poor!Z20</f>
        <v>0</v>
      </c>
      <c r="AA20" s="120">
        <f t="shared" si="16"/>
        <v>0</v>
      </c>
      <c r="AB20" s="155">
        <f>Poor!AB20</f>
        <v>0</v>
      </c>
      <c r="AC20" s="120">
        <f t="shared" si="7"/>
        <v>0</v>
      </c>
      <c r="AD20" s="155">
        <f>Poor!AD20</f>
        <v>0.5</v>
      </c>
      <c r="AE20" s="120">
        <f t="shared" si="8"/>
        <v>0</v>
      </c>
      <c r="AF20" s="121">
        <f t="shared" si="10"/>
        <v>0.5</v>
      </c>
      <c r="AG20" s="120">
        <f t="shared" si="11"/>
        <v>0</v>
      </c>
      <c r="AH20" s="122">
        <f t="shared" si="12"/>
        <v>1</v>
      </c>
      <c r="AI20" s="184">
        <f t="shared" si="13"/>
        <v>0</v>
      </c>
      <c r="AJ20" s="119">
        <f t="shared" si="14"/>
        <v>0</v>
      </c>
      <c r="AK20" s="118">
        <f t="shared" si="15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>Purchase - fpl non staple</v>
      </c>
      <c r="B21" s="100">
        <f>IF([1]Summ!$J1059="",0,[1]Summ!$J1059)</f>
        <v>0.31070909526774598</v>
      </c>
      <c r="C21" s="100">
        <f>IF([1]Summ!$K1059="",0,[1]Summ!$K1059)</f>
        <v>0.27549451504186073</v>
      </c>
      <c r="D21" s="24">
        <f t="shared" si="0"/>
        <v>0.58620361030960666</v>
      </c>
      <c r="E21" s="75">
        <f>Middle!E21</f>
        <v>1</v>
      </c>
      <c r="F21" s="22"/>
      <c r="H21" s="24">
        <f t="shared" si="1"/>
        <v>1</v>
      </c>
      <c r="I21" s="22">
        <f t="shared" si="2"/>
        <v>0.58620361030960666</v>
      </c>
      <c r="J21" s="24">
        <f>IF(I$24&lt;=1+I113,I21,B21*H21+J$25*(I21-B21*H21))</f>
        <v>0.30930246402662065</v>
      </c>
      <c r="K21" s="22">
        <f t="shared" si="4"/>
        <v>0.31070909526774598</v>
      </c>
      <c r="L21" s="22">
        <f t="shared" si="5"/>
        <v>0.31070909526774598</v>
      </c>
      <c r="M21" s="174">
        <f t="shared" si="6"/>
        <v>0.30930246402662065</v>
      </c>
      <c r="N21" s="231"/>
      <c r="P21" s="22"/>
      <c r="Q21" s="59" t="s">
        <v>84</v>
      </c>
      <c r="R21" s="224">
        <f>IF($B$68=0,0,(SUMIF($N$6:$N$20,$U21,K$6:K$20)+SUMIF($N$78:$N$100,$U21,K$78:K$100))*$I$70*Poor!$B$68/$B$68)</f>
        <v>48384.000000000015</v>
      </c>
      <c r="S21" s="224">
        <f>IF($B$68=0,0,(SUMIF($N$6:$N$20,$U21,L$6:L$20)+SUMIF($N$78:$N$100,$U21,L$78:L$100))*$I$70*Poor!$B$68/$B$68)</f>
        <v>45360.000000000015</v>
      </c>
      <c r="T21" s="224">
        <f>IF($B$68=0,0,(SUMIF($N$6:$N$20,$U21,M$6:M$20)+SUMIF($N$78:$N$100,$U21,M$78:M$100))*$I$70*Poor!$B$68/$B$68)</f>
        <v>45128.399043851212</v>
      </c>
      <c r="U21" s="225">
        <v>15</v>
      </c>
      <c r="V21" s="56"/>
      <c r="W21" s="109"/>
      <c r="X21" s="117"/>
      <c r="Y21" s="184">
        <f t="shared" si="9"/>
        <v>1.2372098561064826</v>
      </c>
      <c r="Z21" s="155">
        <f>Poor!Z21</f>
        <v>0.25</v>
      </c>
      <c r="AA21" s="120">
        <f t="shared" si="16"/>
        <v>0.30930246402662065</v>
      </c>
      <c r="AB21" s="155">
        <f>Poor!AB21</f>
        <v>0.25</v>
      </c>
      <c r="AC21" s="120">
        <f t="shared" si="7"/>
        <v>0.30930246402662065</v>
      </c>
      <c r="AD21" s="155">
        <f>Poor!AD21</f>
        <v>0.25</v>
      </c>
      <c r="AE21" s="120">
        <f t="shared" si="8"/>
        <v>0.30930246402662065</v>
      </c>
      <c r="AF21" s="121">
        <f t="shared" si="10"/>
        <v>0.25</v>
      </c>
      <c r="AG21" s="120">
        <f t="shared" si="11"/>
        <v>0.30930246402662065</v>
      </c>
      <c r="AH21" s="122">
        <f t="shared" si="12"/>
        <v>1</v>
      </c>
      <c r="AI21" s="184">
        <f t="shared" si="13"/>
        <v>0.30930246402662065</v>
      </c>
      <c r="AJ21" s="119">
        <f t="shared" si="14"/>
        <v>0.30930246402662065</v>
      </c>
      <c r="AK21" s="118">
        <f t="shared" si="15"/>
        <v>0.30930246402662065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 thickBot="1">
      <c r="A22" s="94" t="s">
        <v>58</v>
      </c>
      <c r="B22" s="100">
        <f>IF([1]Summ!$J1060="",0,[1]Summ!$J1060)</f>
        <v>0.50976766625155667</v>
      </c>
      <c r="C22" s="65"/>
      <c r="D22" s="24">
        <f>(D101-B106)</f>
        <v>98.858174917882181</v>
      </c>
      <c r="E22" s="75">
        <f>Middle!E22</f>
        <v>1</v>
      </c>
      <c r="H22" s="97">
        <f>(E22*F$7/F$9)</f>
        <v>1</v>
      </c>
      <c r="I22" s="29">
        <f>IF(E22&gt;=1,I101-I106,MIN(I101-I106,B22*H22))</f>
        <v>93.916129329822951</v>
      </c>
      <c r="J22" s="238">
        <f>IF(I$24&lt;=$B$24,I22,$B$24-SUM(J6:J21))</f>
        <v>0.51285877665987156</v>
      </c>
      <c r="K22" s="22">
        <f t="shared" si="4"/>
        <v>0.50976766625155667</v>
      </c>
      <c r="L22" s="22">
        <f>IF(L106=L101,0,IF(K22="",0,(L101-L106)/(B101-B106)*K22))</f>
        <v>0.48361168682234479</v>
      </c>
      <c r="M22" s="174">
        <f t="shared" si="6"/>
        <v>0.51285877665987156</v>
      </c>
      <c r="N22" s="165" t="s">
        <v>88</v>
      </c>
      <c r="O22" s="2"/>
      <c r="P22" s="22"/>
      <c r="Q22" s="59" t="s">
        <v>85</v>
      </c>
      <c r="R22" s="224">
        <f>IF($B$68=0,0,(SUMIF($N$6:$N$20,$U22,K$6:K$20)+SUMIF($N$78:$N$100,$U22,K$78:K$100))*$I$70*Poor!$B$68/$B$68)</f>
        <v>0</v>
      </c>
      <c r="S22" s="224">
        <f>IF($B$68=0,0,(SUMIF($N$6:$N$20,$U22,L$6:L$20)+SUMIF($N$78:$N$100,$U22,L$78:L$100))*$I$70*Poor!$B$68/$B$68)</f>
        <v>0</v>
      </c>
      <c r="T22" s="224">
        <f>IF($B$68=0,0,(SUMIF($N$6:$N$20,$U22,M$6:M$20)+SUMIF($N$78:$N$100,$U22,M$78:M$100))*$I$70*Poor!$B$68/$B$68)</f>
        <v>0</v>
      </c>
      <c r="U22" s="225">
        <v>16</v>
      </c>
      <c r="V22" s="56"/>
      <c r="W22" s="109"/>
      <c r="X22" s="117"/>
      <c r="Y22" s="184">
        <f>M22*4</f>
        <v>2.0514351066394862</v>
      </c>
      <c r="Z22" s="121">
        <f>IF($Y22=0,0,AA22/($Y$22))</f>
        <v>0</v>
      </c>
      <c r="AA22" s="188">
        <f>IF(AA66*4/$I$70+SUM(AA6:AA21)&lt;1,AA66*4/$I$70,1-SUM(AA6:AA21))</f>
        <v>0</v>
      </c>
      <c r="AB22" s="121">
        <f>IF($Y22=0,0,AC22/($Y$22))</f>
        <v>0</v>
      </c>
      <c r="AC22" s="188">
        <f>IF(AC66*4/$I$70+SUM(AC6:AC21)&lt;1,AC66*4/$I$70,1-SUM(AC6:AC21))</f>
        <v>0</v>
      </c>
      <c r="AD22" s="121">
        <f>IF($Y22=0,0,AE22/($Y$22))</f>
        <v>1.0638746545875707E-2</v>
      </c>
      <c r="AE22" s="188">
        <f>IF(AE66*4/$I$70+SUM(AE6:AE21)&lt;1,AE66*4/$I$70,1-SUM(AE6:AE21))</f>
        <v>2.1824698154848998E-2</v>
      </c>
      <c r="AF22" s="121">
        <f>IF($Y22=0,0,AG22/($Y$22))</f>
        <v>1.8270338980259655E-2</v>
      </c>
      <c r="AG22" s="188">
        <f>IF(AG66*4/$I$70+SUM(AG6:AG21)&lt;1,AG66*4/$I$70,1-SUM(AG6:AG21))</f>
        <v>3.7480414794308525E-2</v>
      </c>
      <c r="AH22" s="122">
        <f t="shared" si="12"/>
        <v>2.8909085526135362E-2</v>
      </c>
      <c r="AI22" s="184">
        <f t="shared" si="13"/>
        <v>1.4826278237289381E-2</v>
      </c>
      <c r="AJ22" s="119">
        <f t="shared" si="14"/>
        <v>0</v>
      </c>
      <c r="AK22" s="118">
        <f t="shared" si="15"/>
        <v>2.9652556474578762E-2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95" t="s">
        <v>59</v>
      </c>
      <c r="B23" s="101" t="str">
        <f>IF(1-$B$24&gt;0,1-$B$24,"")</f>
        <v/>
      </c>
      <c r="C23" s="29"/>
      <c r="D23" s="24"/>
      <c r="E23" s="22"/>
      <c r="F23" s="22"/>
      <c r="H23" s="24"/>
      <c r="I23" s="22"/>
      <c r="J23" s="239">
        <f>($B$24-SUM(J6:J22))</f>
        <v>0</v>
      </c>
      <c r="K23" s="22" t="str">
        <f t="shared" si="4"/>
        <v/>
      </c>
      <c r="L23" s="22">
        <f>(1-SUM(L6:L22))</f>
        <v>-0.47187651899337024</v>
      </c>
      <c r="M23" s="177">
        <f t="shared" si="6"/>
        <v>0</v>
      </c>
      <c r="N23" s="166">
        <f>M23*I70</f>
        <v>0</v>
      </c>
      <c r="P23" s="22"/>
      <c r="Q23" s="170" t="s">
        <v>102</v>
      </c>
      <c r="R23" s="179">
        <f>SUM(R7:R22)</f>
        <v>408503.60214977665</v>
      </c>
      <c r="S23" s="179">
        <f>SUM(S7:S22)</f>
        <v>388843.47506116901</v>
      </c>
      <c r="T23" s="179">
        <f>SUM(T7:T22)</f>
        <v>386867.84285452357</v>
      </c>
      <c r="U23" s="241" t="s">
        <v>143</v>
      </c>
      <c r="V23" s="56"/>
      <c r="W23" s="128" t="s">
        <v>86</v>
      </c>
      <c r="X23" s="129"/>
      <c r="Y23" s="120">
        <f>M23*4</f>
        <v>0</v>
      </c>
      <c r="Z23" s="130"/>
      <c r="AA23" s="131">
        <f>1-AA24+IF($Y24&lt;0,$Y24/4,0)</f>
        <v>0</v>
      </c>
      <c r="AB23" s="130"/>
      <c r="AC23" s="132">
        <f>1-AC24+IF($Y24&lt;0,$Y24/4,0)</f>
        <v>0</v>
      </c>
      <c r="AD23" s="133"/>
      <c r="AE23" s="132">
        <f>1-AE24+IF($Y24&lt;0,$Y24/4,0)</f>
        <v>0</v>
      </c>
      <c r="AF23" s="133"/>
      <c r="AG23" s="132">
        <f>1-AG24+IF($Y24&lt;0,$Y24/4,0)</f>
        <v>0</v>
      </c>
      <c r="AH23" s="122"/>
      <c r="AI23" s="183">
        <f>SUM(AA23,AC23,AE23,AG23)/4</f>
        <v>0</v>
      </c>
      <c r="AJ23" s="134">
        <f t="shared" si="14"/>
        <v>0</v>
      </c>
      <c r="AK23" s="135">
        <f t="shared" si="15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>
      <c r="A24" s="22" t="s">
        <v>25</v>
      </c>
      <c r="B24" s="29">
        <f>SUM(B6:B22)</f>
        <v>1.4980324984225821</v>
      </c>
      <c r="C24" s="29">
        <f>SUM(C6:C23)</f>
        <v>0.60540668938806252</v>
      </c>
      <c r="D24" s="24">
        <f>SUM(D6:D22)</f>
        <v>100.45184643944127</v>
      </c>
      <c r="E24" s="2"/>
      <c r="F24" s="2"/>
      <c r="H24" s="17"/>
      <c r="I24" s="22">
        <f>SUM(I6:I22)</f>
        <v>95.509800851382039</v>
      </c>
      <c r="J24" s="17"/>
      <c r="L24" s="22">
        <f>SUM(L6:L22)</f>
        <v>1.4718765189933702</v>
      </c>
      <c r="M24" s="23"/>
      <c r="N24" s="56"/>
      <c r="O24" s="2"/>
      <c r="P24" s="22"/>
      <c r="Q24" s="59" t="s">
        <v>140</v>
      </c>
      <c r="R24" s="41">
        <f>IF($B$68=0,0,($B$106*$H$106)+1-($D$21*$H$21)-($D$20*$H$20))*$I$70*Poor!$B$68/$B$68</f>
        <v>18678.904463959967</v>
      </c>
      <c r="S24" s="41">
        <f>IF($B$68=0,0,($B$106*($H$106)+1-($D$21*$H$21)-($D$20*$H$20))*$I$70*Poor!$B$68/$B$68)</f>
        <v>18678.904463959967</v>
      </c>
      <c r="T24" s="41">
        <f>IF($B$68=0,0,($B$106*($H$106)+1-($D$21*$H$21)-($D$20*$H$20))*$I$70*[2]Poor!$B$68/$B$68)</f>
        <v>18678.904463959967</v>
      </c>
      <c r="U24" s="242">
        <f>T24/Poor!$B$68/12</f>
        <v>259.42922866611065</v>
      </c>
      <c r="V24" s="56"/>
      <c r="W24" s="109"/>
      <c r="X24" s="117"/>
      <c r="Y24" s="114">
        <f>SUM(Y6:Y23)</f>
        <v>5.9921299936903285</v>
      </c>
      <c r="Z24" s="136"/>
      <c r="AA24" s="137">
        <f>SUM(AA6:AA22)</f>
        <v>1</v>
      </c>
      <c r="AB24" s="136"/>
      <c r="AC24" s="138">
        <f>SUM(AC6:AC22)</f>
        <v>1</v>
      </c>
      <c r="AD24" s="136"/>
      <c r="AE24" s="138">
        <f>SUM(AE6:AE22)</f>
        <v>1</v>
      </c>
      <c r="AF24" s="136"/>
      <c r="AG24" s="138">
        <f>SUM(AG6:AG22)</f>
        <v>1</v>
      </c>
      <c r="AH24" s="126"/>
      <c r="AI24" s="109"/>
      <c r="AJ24" s="139">
        <f>SUM(AJ6:AJ23)</f>
        <v>1</v>
      </c>
      <c r="AK24" s="140">
        <f>SUM(AK6:AK23)</f>
        <v>1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</row>
    <row r="25" spans="1:89" ht="14" customHeight="1" thickBot="1">
      <c r="A25" s="11"/>
      <c r="B25" s="11"/>
      <c r="C25" s="11"/>
      <c r="D25" s="10"/>
      <c r="E25" s="11"/>
      <c r="F25" s="11"/>
      <c r="G25" s="11"/>
      <c r="H25" s="10"/>
      <c r="I25" s="234" t="s">
        <v>26</v>
      </c>
      <c r="J25" s="235">
        <f>(1+K107*H107-L24-L107)/(I24-L24-L107)</f>
        <v>-5.1058411849383284E-3</v>
      </c>
      <c r="K25" s="14"/>
      <c r="L25" s="11"/>
      <c r="M25" s="30"/>
      <c r="N25" s="167" t="s">
        <v>89</v>
      </c>
      <c r="O25" s="2"/>
      <c r="P25" s="2"/>
      <c r="Q25" s="141" t="s">
        <v>141</v>
      </c>
      <c r="R25" s="41">
        <f>IF($B$68=0,0,($B$57+$B$58+((1-$D$21)*$B$70))*$H$71*Poor!$B$68/$B$68)</f>
        <v>31956.587333810494</v>
      </c>
      <c r="S25" s="41">
        <f>IF($B$68=0,0,(($B$57*$H$57)+($B$58*$H$58)+((1-($D$21*$H$21))*$I$70))*Poor!$B$68/$B$68)</f>
        <v>31648.144463959965</v>
      </c>
      <c r="T25" s="41">
        <f>IF($B$68=0,0,(($B$57*$H$57)+($B$58*$H$58)+((1-($D$21*$H$21))*$I$70))*Poor!$B$68/$B$68)</f>
        <v>31648.144463959965</v>
      </c>
      <c r="U25" s="242">
        <f>T25/Poor!$B$68/12</f>
        <v>439.55756199944398</v>
      </c>
      <c r="V25" s="56"/>
      <c r="W25" s="109"/>
      <c r="X25" s="117"/>
      <c r="Y25" s="109"/>
      <c r="Z25" s="142"/>
      <c r="AA25" s="143"/>
      <c r="AB25" s="142"/>
      <c r="AC25" s="143"/>
      <c r="AD25" s="142"/>
      <c r="AE25" s="143"/>
      <c r="AF25" s="142"/>
      <c r="AG25" s="143"/>
      <c r="AH25" s="109"/>
      <c r="AI25" s="109"/>
      <c r="AJ25" s="142"/>
      <c r="AK25" s="143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</row>
    <row r="26" spans="1:89" ht="15.75" customHeight="1" thickBot="1">
      <c r="A26" s="73" t="s">
        <v>52</v>
      </c>
      <c r="B26" s="2"/>
      <c r="C26" s="2"/>
      <c r="D26" s="31"/>
      <c r="E26" s="32"/>
      <c r="F26" s="32"/>
      <c r="G26" s="32"/>
      <c r="H26" s="31"/>
      <c r="I26" s="2"/>
      <c r="J26" s="33"/>
      <c r="K26" s="34" t="s">
        <v>28</v>
      </c>
      <c r="L26" s="35"/>
      <c r="M26" s="36"/>
      <c r="N26" s="168">
        <f>-(M64*B63)</f>
        <v>0</v>
      </c>
      <c r="O26" s="2"/>
      <c r="P26" s="2"/>
      <c r="Q26" s="59" t="s">
        <v>142</v>
      </c>
      <c r="R26" s="41">
        <f>IF($B$68=0,0,($B$57+$B$58+$B$59+((1-$D$21)*$B$70))*$H$71*Poor!$B$68/$B$68)</f>
        <v>55602.772300932185</v>
      </c>
      <c r="S26" s="41">
        <f>IF($B$68=0,0,(($B$57*$H$57)+($B$58*$H$58)+($B$59*$H$59)+((1-($D$21*$H$21))*$I$70))*Poor!$B$68/$B$68)</f>
        <v>54745.02446395997</v>
      </c>
      <c r="T26" s="41">
        <f>IF($B$68=0,0,(($B$57*$H$57)+($B$58*$H$58)+($B$59*$H$59)+((1-($D$21*$H$21))*$I$70))*Poor!$B$68/$B$68)</f>
        <v>54745.02446395997</v>
      </c>
      <c r="U26" s="242">
        <f>T26/Poor!$B$68/12</f>
        <v>760.34756199944411</v>
      </c>
      <c r="V26" s="56"/>
      <c r="W26" s="109"/>
      <c r="X26" s="117"/>
      <c r="Y26" s="109"/>
      <c r="Z26" s="144"/>
      <c r="AA26" s="145"/>
      <c r="AB26" s="144"/>
      <c r="AC26" s="145"/>
      <c r="AD26" s="144"/>
      <c r="AE26" s="145"/>
      <c r="AF26" s="144"/>
      <c r="AG26" s="145"/>
      <c r="AH26" s="109"/>
      <c r="AI26" s="109"/>
      <c r="AJ26" s="144"/>
      <c r="AK26" s="145"/>
      <c r="AP26" s="25"/>
      <c r="AQ26" s="25"/>
      <c r="AR26" s="25"/>
      <c r="AS26" s="25"/>
      <c r="AT26" s="25"/>
      <c r="AU26" s="25"/>
      <c r="AW26" s="25"/>
      <c r="AX26" s="25"/>
      <c r="AY26" s="25"/>
      <c r="AZ26" s="25"/>
      <c r="BA26" s="25"/>
      <c r="BB26" s="25"/>
      <c r="BF26" s="25"/>
      <c r="BG26" s="25"/>
      <c r="BH26" s="25"/>
      <c r="BI26" s="25"/>
      <c r="BJ26" s="25"/>
      <c r="BK26" s="25"/>
      <c r="BM26" s="25"/>
      <c r="BN26" s="25"/>
      <c r="BO26" s="25"/>
      <c r="BP26" s="25"/>
      <c r="BQ26" s="25"/>
      <c r="BR26" s="25"/>
      <c r="BU26" s="25"/>
      <c r="BV26" s="25"/>
      <c r="BW26" s="25"/>
      <c r="BX26" s="25"/>
      <c r="BY26" s="25"/>
      <c r="BZ26" s="25"/>
      <c r="CB26" s="25"/>
      <c r="CC26" s="25"/>
      <c r="CD26" s="25"/>
      <c r="CE26" s="25"/>
      <c r="CF26" s="25"/>
      <c r="CG26" s="25"/>
    </row>
    <row r="27" spans="1:89" ht="14" customHeight="1">
      <c r="A27" s="2"/>
      <c r="B27" s="19" t="s">
        <v>7</v>
      </c>
      <c r="C27" s="19" t="s">
        <v>8</v>
      </c>
      <c r="D27" s="16" t="s">
        <v>9</v>
      </c>
      <c r="E27" s="19" t="s">
        <v>10</v>
      </c>
      <c r="F27" s="2" t="s">
        <v>29</v>
      </c>
      <c r="G27" s="2" t="s">
        <v>30</v>
      </c>
      <c r="H27" s="16" t="s">
        <v>12</v>
      </c>
      <c r="I27" s="19" t="s">
        <v>13</v>
      </c>
      <c r="J27" s="16" t="s">
        <v>14</v>
      </c>
      <c r="K27" s="37" t="s">
        <v>7</v>
      </c>
      <c r="L27" s="19" t="s">
        <v>15</v>
      </c>
      <c r="M27" s="16" t="s">
        <v>14</v>
      </c>
      <c r="N27" s="2"/>
      <c r="O27" s="2"/>
      <c r="P27" s="2"/>
      <c r="Q27" s="125" t="s">
        <v>134</v>
      </c>
      <c r="R27" s="41">
        <f>IF($B$68=0,0,($B$57+$B$58+$B$59+$B$60+(1-$D$21-$D$20)*$B$70)*$H$71*Poor!$B$68/$B$68)</f>
        <v>114329.58634989962</v>
      </c>
      <c r="S27" s="41">
        <f>IF($B$68=0,0,(($B$57*$H$57)+($B$58*$H$58)+($B$59*$H$59)+($B$60*$H$60)+((1-($D$20*$H$20)-($D$21*$H$21))*$I$70))*Poor!$B$68/$B$68)</f>
        <v>112107.60446395997</v>
      </c>
      <c r="T27" s="41">
        <f>IF($B$68=0,0,(($B$57*$H$57)+($B$58*$H$58)+($B$59*$H$59)+($B$60*$H$60)+((1-($D$20*$H$20)-($D$21*$H$21))*$I$70))*Poor!$B$68/$B$68)</f>
        <v>112107.60446395997</v>
      </c>
      <c r="U27" s="243">
        <f>T27/Poor!$B$68/12</f>
        <v>1557.0500619994439</v>
      </c>
      <c r="V27" s="56"/>
      <c r="W27" s="109"/>
      <c r="X27" s="117"/>
      <c r="Y27" s="109"/>
      <c r="Z27" s="144"/>
      <c r="AA27" s="145"/>
      <c r="AB27" s="144"/>
      <c r="AC27" s="145"/>
      <c r="AD27" s="144"/>
      <c r="AE27" s="145"/>
      <c r="AF27" s="144"/>
      <c r="AG27" s="145"/>
      <c r="AH27" s="109"/>
      <c r="AI27" s="109"/>
      <c r="AJ27" s="144"/>
      <c r="AK27" s="145"/>
      <c r="AP27" s="25"/>
      <c r="AQ27" s="25"/>
      <c r="AR27" s="25"/>
      <c r="AS27" s="25"/>
      <c r="AT27" s="25"/>
      <c r="AU27" s="25"/>
      <c r="AW27" s="25"/>
      <c r="AX27" s="25"/>
      <c r="AY27" s="25"/>
      <c r="AZ27" s="25"/>
      <c r="BA27" s="25"/>
      <c r="BB27" s="25"/>
      <c r="BF27" s="25"/>
      <c r="BG27" s="25"/>
      <c r="BH27" s="25"/>
      <c r="BI27" s="25"/>
      <c r="BJ27" s="25"/>
      <c r="BK27" s="25"/>
      <c r="BM27" s="25"/>
      <c r="BN27" s="25"/>
      <c r="BO27" s="25"/>
      <c r="BP27" s="25"/>
      <c r="BQ27" s="25"/>
      <c r="BR27" s="25"/>
      <c r="BU27" s="25"/>
      <c r="BV27" s="25"/>
      <c r="BW27" s="25"/>
      <c r="BX27" s="25"/>
      <c r="BY27" s="25"/>
      <c r="BZ27" s="25"/>
      <c r="CB27" s="25"/>
      <c r="CC27" s="25"/>
      <c r="CD27" s="25"/>
      <c r="CE27" s="25"/>
      <c r="CF27" s="25"/>
      <c r="CG27" s="25"/>
    </row>
    <row r="28" spans="1:89" ht="14" customHeight="1">
      <c r="A28" s="2" t="s">
        <v>31</v>
      </c>
      <c r="B28" s="19" t="s">
        <v>16</v>
      </c>
      <c r="C28" s="19" t="s">
        <v>17</v>
      </c>
      <c r="D28" s="16" t="s">
        <v>16</v>
      </c>
      <c r="E28" s="19" t="s">
        <v>18</v>
      </c>
      <c r="F28" s="2" t="s">
        <v>32</v>
      </c>
      <c r="G28" s="2" t="s">
        <v>32</v>
      </c>
      <c r="H28" s="16" t="s">
        <v>18</v>
      </c>
      <c r="I28" s="19" t="s">
        <v>16</v>
      </c>
      <c r="J28" s="16" t="s">
        <v>16</v>
      </c>
      <c r="K28" s="37" t="s">
        <v>16</v>
      </c>
      <c r="L28" s="19" t="s">
        <v>20</v>
      </c>
      <c r="M28" s="16" t="s">
        <v>16</v>
      </c>
      <c r="N28" s="2"/>
      <c r="O28" s="2"/>
      <c r="P28" s="2"/>
      <c r="U28" s="56"/>
      <c r="V28" s="56"/>
      <c r="W28" s="109"/>
      <c r="X28" s="117"/>
      <c r="Y28" s="109"/>
      <c r="Z28" s="144"/>
      <c r="AA28" s="145"/>
      <c r="AB28" s="144"/>
      <c r="AC28" s="145"/>
      <c r="AD28" s="144"/>
      <c r="AE28" s="145"/>
      <c r="AF28" s="144"/>
      <c r="AG28" s="145"/>
      <c r="AH28" s="109"/>
      <c r="AI28" s="109"/>
      <c r="AJ28" s="144"/>
      <c r="AK28" s="145"/>
      <c r="AP28" s="25"/>
      <c r="AQ28" s="25"/>
      <c r="AR28" s="25"/>
      <c r="AS28" s="25"/>
      <c r="AT28" s="25"/>
      <c r="AU28" s="25"/>
      <c r="AW28" s="25"/>
      <c r="AX28" s="25"/>
      <c r="AY28" s="25"/>
      <c r="AZ28" s="25"/>
      <c r="BA28" s="25"/>
      <c r="BB28" s="25"/>
      <c r="BF28" s="25"/>
      <c r="BG28" s="25"/>
      <c r="BH28" s="25"/>
      <c r="BI28" s="25"/>
      <c r="BJ28" s="25"/>
      <c r="BK28" s="25"/>
      <c r="BM28" s="25"/>
      <c r="BN28" s="25"/>
      <c r="BO28" s="25"/>
      <c r="BP28" s="25"/>
      <c r="BQ28" s="25"/>
      <c r="BR28" s="25"/>
      <c r="BU28" s="25"/>
      <c r="BV28" s="25"/>
      <c r="BW28" s="25"/>
      <c r="BX28" s="25"/>
      <c r="BY28" s="25"/>
      <c r="BZ28" s="25"/>
      <c r="CB28" s="25"/>
      <c r="CC28" s="25"/>
      <c r="CD28" s="25"/>
      <c r="CE28" s="25"/>
      <c r="CF28" s="25"/>
      <c r="CG28" s="25"/>
    </row>
    <row r="29" spans="1:89" ht="14" customHeight="1">
      <c r="A29" s="85" t="str">
        <f>IF(Poor!A29=0,"",Poor!A29)</f>
        <v>Pig sales: no sold</v>
      </c>
      <c r="B29" s="103">
        <f>IF([1]Summ!$J1064="",0,[1]Summ!$J1064)</f>
        <v>600</v>
      </c>
      <c r="C29" s="103">
        <f>IF([1]Summ!$J1064="",0,[1]Summ!$J1064)</f>
        <v>600</v>
      </c>
      <c r="D29" s="38">
        <f t="shared" ref="D29:D51" si="17">B29+C29</f>
        <v>1200</v>
      </c>
      <c r="E29" s="75">
        <f>Middle!E29</f>
        <v>1</v>
      </c>
      <c r="F29" s="75">
        <f>Middle!F29</f>
        <v>1.03</v>
      </c>
      <c r="G29" s="75">
        <f>Middle!G29</f>
        <v>1.1200000000000001</v>
      </c>
      <c r="H29" s="24">
        <f t="shared" ref="H29:H51" si="18">(E29*F29)</f>
        <v>1.03</v>
      </c>
      <c r="I29" s="39">
        <f t="shared" ref="I29:I51" si="19">D29*H29</f>
        <v>1236</v>
      </c>
      <c r="J29" s="38">
        <f t="shared" ref="J29:J51" si="20">J78*I$70</f>
        <v>614.84459014770823</v>
      </c>
      <c r="K29" s="40">
        <f t="shared" ref="K29:K51" si="21">(B29/B$52)</f>
        <v>1.9984417213919272E-3</v>
      </c>
      <c r="L29" s="22">
        <f t="shared" ref="L29:L51" si="22">(K29*H29)</f>
        <v>2.0583949730336852E-3</v>
      </c>
      <c r="M29" s="24">
        <f t="shared" ref="M29:M51" si="23">J29/B$52</f>
        <v>2.0478851352055002E-3</v>
      </c>
      <c r="N29" s="2"/>
      <c r="O29" s="2"/>
      <c r="P29" s="2"/>
      <c r="Q29" s="178"/>
      <c r="R29" s="180"/>
      <c r="S29" s="180"/>
      <c r="T29" s="180"/>
      <c r="U29" s="56"/>
      <c r="V29" s="56"/>
      <c r="W29" s="114"/>
      <c r="X29" s="117"/>
      <c r="Y29" s="109"/>
      <c r="Z29" s="121">
        <f>IF($J29=0,0,AA29/($J29))</f>
        <v>0</v>
      </c>
      <c r="AA29" s="146">
        <f>IF(SUM(AA$6:AA$21)+(SUM(AA$31:AA$51,-AA$57)/AA$70)&lt;1,IF(SUM(AA$6:AA$21)+(SUM(AA$31:AA$51,$J$29:$J$30,-AA$57)/AA$70)&lt;1,$J29,(AA$70-(SUM(AA$6:AA$21)*AA$70)-SUM(AA$31:AA$51,-AA$57))*($J29/SUM($J$29:$J$30))),0)</f>
        <v>0</v>
      </c>
      <c r="AB29" s="121">
        <f>IF($J29=0,0,AC29/($J29))</f>
        <v>0</v>
      </c>
      <c r="AC29" s="146">
        <f>IF(SUM(AC$6:AC$21)+(SUM(AC$31:AC$51,-AC$57)/AC$70)&lt;1,IF(SUM(AC$6:AC$21)+((SUM(AC$31:AC$51,$J$29:$J$30,-AC$57)-SUM($AA$29:$AA$30))/AC$70)&lt;1,$J29-$AA29,(AC$70-(SUM(AC$6:AC$21)*AC$70)-SUM(AC$31:AC$51,-AC$57))*($J29/SUM($J$29:$J$30))),0)</f>
        <v>0</v>
      </c>
      <c r="AD29" s="121">
        <f>IF($J29=0,0,AE29/($J29))</f>
        <v>0</v>
      </c>
      <c r="AE29" s="146">
        <f>IF(SUM(AE$6:AE$21)+(SUM(AE$31:AE$51,-AE$57)/AE$70)&lt;1,IF(SUM(AE$6:AE$21)+((SUM(AE$31:AE$51,$J$29:$J$30,-AE$57)-SUM($AA$29:$AA$30)-SUM($AC$29:$AC$30))/AE$70)&lt;1,$J29-$AA29-$AC29,(AE$70-(SUM(AE$6:AE$21)*AE$70)-SUM(AE$31:AE$51,-AE$57))*($J29/SUM($J$29:$J$30))),0)</f>
        <v>0</v>
      </c>
      <c r="AF29" s="121">
        <f t="shared" ref="AF29:AF51" si="24">1-SUM(Z29,AB29,AD29)</f>
        <v>1</v>
      </c>
      <c r="AG29" s="146">
        <f>$J29*AF29</f>
        <v>614.84459014770823</v>
      </c>
      <c r="AH29" s="122">
        <f>SUM(Z29,AB29,AD29,AF29)</f>
        <v>1</v>
      </c>
      <c r="AI29" s="111">
        <f>SUM(AA29,AC29,AE29,AG29)</f>
        <v>614.84459014770823</v>
      </c>
      <c r="AJ29" s="147">
        <f>(AA29+AC29)</f>
        <v>0</v>
      </c>
      <c r="AK29" s="146">
        <f>(AE29+AG29)</f>
        <v>614.84459014770823</v>
      </c>
      <c r="AP29" s="25"/>
      <c r="AQ29" s="25"/>
      <c r="AR29" s="25"/>
      <c r="AS29" s="25"/>
      <c r="AT29" s="25"/>
      <c r="AU29" s="25"/>
      <c r="AW29" s="25"/>
      <c r="AX29" s="25"/>
      <c r="AY29" s="25"/>
      <c r="AZ29" s="25"/>
      <c r="BA29" s="25"/>
      <c r="BB29" s="25"/>
      <c r="BF29" s="25"/>
      <c r="BG29" s="25"/>
      <c r="BH29" s="25"/>
      <c r="BI29" s="25"/>
      <c r="BJ29" s="25"/>
      <c r="BK29" s="25"/>
      <c r="BM29" s="25"/>
      <c r="BN29" s="25"/>
      <c r="BO29" s="25"/>
      <c r="BP29" s="25"/>
      <c r="BQ29" s="25"/>
      <c r="BR29" s="25"/>
      <c r="BU29" s="25"/>
      <c r="BV29" s="25"/>
      <c r="BW29" s="25"/>
      <c r="BX29" s="25"/>
      <c r="BY29" s="25"/>
      <c r="BZ29" s="25"/>
      <c r="CB29" s="25"/>
      <c r="CC29" s="25"/>
      <c r="CD29" s="25"/>
      <c r="CE29" s="25"/>
      <c r="CF29" s="25"/>
      <c r="CG29" s="25"/>
    </row>
    <row r="30" spans="1:89" ht="14" customHeight="1">
      <c r="A30" s="85" t="str">
        <f>IF(Poor!A30=0,"",Poor!A30)</f>
        <v>Cattle sales - local: no. sold</v>
      </c>
      <c r="B30" s="103">
        <f>IF([1]Summ!$J1065="",0,[1]Summ!$J1065)</f>
        <v>12000</v>
      </c>
      <c r="C30" s="103">
        <f>IF([1]Summ!$J1065="",0,[1]Summ!$J1065)</f>
        <v>12000</v>
      </c>
      <c r="D30" s="38">
        <f t="shared" si="17"/>
        <v>24000</v>
      </c>
      <c r="E30" s="75">
        <f>Middle!E30</f>
        <v>1</v>
      </c>
      <c r="F30" s="75">
        <f>Middle!F30</f>
        <v>1.1100000000000001</v>
      </c>
      <c r="G30" s="22">
        <f t="shared" ref="G30:G51" si="25">(G$29)</f>
        <v>1.1200000000000001</v>
      </c>
      <c r="H30" s="24">
        <f t="shared" si="18"/>
        <v>1.1100000000000001</v>
      </c>
      <c r="I30" s="39">
        <f t="shared" si="19"/>
        <v>26640.000000000004</v>
      </c>
      <c r="J30" s="38">
        <f t="shared" si="20"/>
        <v>13251.990195416627</v>
      </c>
      <c r="K30" s="40">
        <f t="shared" si="21"/>
        <v>3.9968834427838544E-2</v>
      </c>
      <c r="L30" s="22">
        <f t="shared" si="22"/>
        <v>4.4365406214900788E-2</v>
      </c>
      <c r="M30" s="24">
        <f t="shared" si="23"/>
        <v>4.4138883496662243E-2</v>
      </c>
      <c r="N30" s="2"/>
      <c r="O30" s="2"/>
      <c r="P30" s="2"/>
      <c r="Q30" s="59"/>
      <c r="R30" s="180"/>
      <c r="S30" s="180"/>
      <c r="T30" s="180"/>
      <c r="U30" s="56"/>
      <c r="V30" s="56"/>
      <c r="W30" s="114"/>
      <c r="X30" s="117"/>
      <c r="Y30" s="109"/>
      <c r="Z30" s="121">
        <f>IF($J30=0,0,AA30/($J30))</f>
        <v>0</v>
      </c>
      <c r="AA30" s="146">
        <f>IF(SUM(AA$6:AA$21)+(SUM(AA$31:AA$51,-AA$57)/AA$70)&lt;1,IF(SUM(AA$6:AA$21)+(SUM(AA$31:AA$51,$J$29:$J$30,-AA$57)/AA$70)&lt;1,$J30,(AA$70-(SUM(AA$6:AA$21)*AA$70)-SUM(AA$31:AA$51,-AA$57))*($J30/SUM($J$29:$J$30))),0)</f>
        <v>0</v>
      </c>
      <c r="AB30" s="121">
        <f>IF($J30=0,0,AC30/($J30))</f>
        <v>0</v>
      </c>
      <c r="AC30" s="146">
        <f>IF(SUM(AC$6:AC$21)+(SUM(AC$31:AC$51,-AC$57)/AC$70)&lt;1,IF(SUM(AC$6:AC$21)+((SUM(AC$31:AC$51,$J$29:$J$30,-AC$57)-SUM($AA$29:$AA$30))/AC$70)&lt;1,$J30-$AA30,(AC$70-(SUM(AC$6:AC$21)*AC$70)-SUM(AC$31:AC$51,-AC$57))*($J30/SUM($J$29:$J$30))),0)</f>
        <v>0</v>
      </c>
      <c r="AD30" s="121">
        <f>IF($J30=0,0,AE30/($J30))</f>
        <v>0</v>
      </c>
      <c r="AE30" s="146">
        <f>IF(SUM(AE$6:AE$21)+(SUM(AE$31:AE$51,-AE$57)/AE$70)&lt;1,IF(SUM(AE$6:AE$21)+((SUM(AE$31:AE$51,$J$29:$J$30,-AE$57)-SUM($AA$29:$AA$30)-SUM($AC$29:$AC$30))/AE$70)&lt;1,$J30-$AA30-$AC30,(AE$70-(SUM(AE$6:AE$21)*AE$70)-SUM(AE$31:AE$51,-AE$57))*($J30/SUM($J$29:$J$30))),0)</f>
        <v>0</v>
      </c>
      <c r="AF30" s="121">
        <f t="shared" si="24"/>
        <v>1</v>
      </c>
      <c r="AG30" s="146">
        <f t="shared" ref="AG30:AG51" si="26">$J30*AF30</f>
        <v>13251.990195416627</v>
      </c>
      <c r="AH30" s="122">
        <f t="shared" ref="AH30:AI45" si="27">SUM(Z30,AB30,AD30,AF30)</f>
        <v>1</v>
      </c>
      <c r="AI30" s="111">
        <f t="shared" si="27"/>
        <v>13251.990195416627</v>
      </c>
      <c r="AJ30" s="147">
        <f t="shared" ref="AJ30:AJ51" si="28">(AA30+AC30)</f>
        <v>0</v>
      </c>
      <c r="AK30" s="146">
        <f t="shared" ref="AK30:AK51" si="29">(AE30+AG30)</f>
        <v>13251.990195416627</v>
      </c>
      <c r="AP30" s="25"/>
      <c r="AQ30" s="25"/>
      <c r="AR30" s="25"/>
      <c r="AS30" s="25"/>
      <c r="AT30" s="25"/>
      <c r="AU30" s="25"/>
      <c r="AW30" s="25"/>
      <c r="AX30" s="25"/>
      <c r="AY30" s="25"/>
      <c r="AZ30" s="25"/>
      <c r="BA30" s="25"/>
      <c r="BB30" s="25"/>
      <c r="BF30" s="25"/>
      <c r="BG30" s="25"/>
      <c r="BH30" s="25"/>
      <c r="BI30" s="25"/>
      <c r="BJ30" s="25"/>
      <c r="BK30" s="25"/>
      <c r="BM30" s="25"/>
      <c r="BN30" s="25"/>
      <c r="BO30" s="25"/>
      <c r="BP30" s="25"/>
      <c r="BQ30" s="25"/>
      <c r="BR30" s="25"/>
      <c r="BU30" s="25"/>
      <c r="BV30" s="25"/>
      <c r="BW30" s="25"/>
      <c r="BX30" s="25"/>
      <c r="BY30" s="25"/>
      <c r="BZ30" s="25"/>
      <c r="CB30" s="25"/>
      <c r="CC30" s="25"/>
      <c r="CD30" s="25"/>
      <c r="CE30" s="25"/>
      <c r="CF30" s="25"/>
      <c r="CG30" s="25"/>
    </row>
    <row r="31" spans="1:89" ht="14" customHeight="1">
      <c r="A31" s="85" t="str">
        <f>IF(Poor!A31=0,"",Poor!A31)</f>
        <v>Goat sales - local: no. sold</v>
      </c>
      <c r="B31" s="103">
        <f>IF([1]Summ!$J1066="",0,[1]Summ!$J1066)</f>
        <v>4200</v>
      </c>
      <c r="C31" s="103">
        <f>IF([1]Summ!$J1066="",0,[1]Summ!$J1066)</f>
        <v>4200</v>
      </c>
      <c r="D31" s="38">
        <f t="shared" si="17"/>
        <v>8400</v>
      </c>
      <c r="E31" s="75">
        <f>Middle!E31</f>
        <v>1</v>
      </c>
      <c r="F31" s="75">
        <f>Middle!F31</f>
        <v>1.0900000000000001</v>
      </c>
      <c r="G31" s="22">
        <f t="shared" si="25"/>
        <v>1.1200000000000001</v>
      </c>
      <c r="H31" s="24">
        <f t="shared" si="18"/>
        <v>1.0900000000000001</v>
      </c>
      <c r="I31" s="39">
        <f t="shared" si="19"/>
        <v>9156</v>
      </c>
      <c r="J31" s="38">
        <f t="shared" si="20"/>
        <v>4554.6254590553526</v>
      </c>
      <c r="K31" s="40">
        <f t="shared" si="21"/>
        <v>1.398909204974349E-2</v>
      </c>
      <c r="L31" s="22">
        <f t="shared" si="22"/>
        <v>1.5248110334220405E-2</v>
      </c>
      <c r="M31" s="24">
        <f t="shared" si="23"/>
        <v>1.5170255904483459E-2</v>
      </c>
      <c r="N31" s="2"/>
      <c r="O31" s="2"/>
      <c r="P31" s="2"/>
      <c r="Q31" s="2"/>
      <c r="R31" s="180"/>
      <c r="S31" s="180"/>
      <c r="T31" s="180"/>
      <c r="U31" s="56"/>
      <c r="V31" s="56"/>
      <c r="W31" s="114"/>
      <c r="X31" s="117">
        <f>X8</f>
        <v>1</v>
      </c>
      <c r="Y31" s="109"/>
      <c r="Z31" s="121">
        <f>Z8</f>
        <v>0.33672131238762609</v>
      </c>
      <c r="AA31" s="146">
        <f>$J31*Z31</f>
        <v>1533.6394620072124</v>
      </c>
      <c r="AB31" s="121">
        <f>AB8</f>
        <v>0.35278490966932241</v>
      </c>
      <c r="AC31" s="146">
        <f>$J31*AB31</f>
        <v>1606.8031311504387</v>
      </c>
      <c r="AD31" s="121">
        <f>AD8</f>
        <v>0.3104937779430515</v>
      </c>
      <c r="AE31" s="146">
        <f>$J31*AD31</f>
        <v>1414.1828658977017</v>
      </c>
      <c r="AF31" s="121">
        <f t="shared" si="24"/>
        <v>0</v>
      </c>
      <c r="AG31" s="146">
        <f t="shared" si="26"/>
        <v>0</v>
      </c>
      <c r="AH31" s="122">
        <f t="shared" si="27"/>
        <v>1</v>
      </c>
      <c r="AI31" s="111">
        <f t="shared" si="27"/>
        <v>4554.6254590553526</v>
      </c>
      <c r="AJ31" s="147">
        <f t="shared" si="28"/>
        <v>3140.4425931576511</v>
      </c>
      <c r="AK31" s="146">
        <f t="shared" si="29"/>
        <v>1414.1828658977017</v>
      </c>
      <c r="AP31" s="25"/>
      <c r="AQ31" s="25"/>
      <c r="AR31" s="25"/>
      <c r="AS31" s="25"/>
      <c r="AT31" s="25"/>
      <c r="AU31" s="25"/>
      <c r="AW31" s="25"/>
      <c r="AX31" s="25"/>
      <c r="AY31" s="25"/>
      <c r="AZ31" s="25"/>
      <c r="BA31" s="25"/>
      <c r="BB31" s="25"/>
      <c r="BF31" s="25"/>
      <c r="BG31" s="25"/>
      <c r="BH31" s="25"/>
      <c r="BI31" s="25"/>
      <c r="BJ31" s="25"/>
      <c r="BK31" s="25"/>
      <c r="BM31" s="25"/>
      <c r="BN31" s="25"/>
      <c r="BO31" s="25"/>
      <c r="BP31" s="25"/>
      <c r="BQ31" s="25"/>
      <c r="BR31" s="25"/>
      <c r="BU31" s="25"/>
      <c r="BV31" s="25"/>
      <c r="BW31" s="25"/>
      <c r="BX31" s="25"/>
      <c r="BY31" s="25"/>
      <c r="BZ31" s="25"/>
      <c r="CB31" s="25"/>
      <c r="CC31" s="25"/>
      <c r="CD31" s="25"/>
      <c r="CE31" s="25"/>
      <c r="CF31" s="25"/>
      <c r="CG31" s="25"/>
    </row>
    <row r="32" spans="1:89" ht="14" customHeight="1">
      <c r="A32" s="85" t="str">
        <f>IF(Poor!A32=0,"",Poor!A32)</f>
        <v>Sheep sales - local: no. sold</v>
      </c>
      <c r="B32" s="103">
        <f>IF([1]Summ!$J1067="",0,[1]Summ!$J1067)</f>
        <v>900</v>
      </c>
      <c r="C32" s="103">
        <f>IF([1]Summ!$J1067="",0,[1]Summ!$J1067)</f>
        <v>900</v>
      </c>
      <c r="D32" s="38">
        <f t="shared" si="17"/>
        <v>1800</v>
      </c>
      <c r="E32" s="75">
        <f>Middle!E32</f>
        <v>1</v>
      </c>
      <c r="F32" s="75">
        <f>Middle!F32</f>
        <v>1.0900000000000001</v>
      </c>
      <c r="G32" s="22">
        <f t="shared" si="25"/>
        <v>1.1200000000000001</v>
      </c>
      <c r="H32" s="24">
        <f t="shared" si="18"/>
        <v>1.0900000000000001</v>
      </c>
      <c r="I32" s="39">
        <f t="shared" si="19"/>
        <v>1962.0000000000002</v>
      </c>
      <c r="J32" s="38">
        <f t="shared" si="20"/>
        <v>975.99116979757571</v>
      </c>
      <c r="K32" s="40">
        <f t="shared" si="21"/>
        <v>2.9976625820878908E-3</v>
      </c>
      <c r="L32" s="22">
        <f t="shared" si="22"/>
        <v>3.2674522144758014E-3</v>
      </c>
      <c r="M32" s="24">
        <f t="shared" si="23"/>
        <v>3.2507691223893132E-3</v>
      </c>
      <c r="N32" s="2"/>
      <c r="O32" s="2"/>
      <c r="P32" s="2"/>
      <c r="Q32" s="59" t="s">
        <v>145</v>
      </c>
      <c r="R32" s="180">
        <f>$B$57+((1-$D$21)*$B$70)</f>
        <v>13697.440151779852</v>
      </c>
      <c r="S32" s="180">
        <f>($B$57*$H$57)+((1-($D$21*$H$21))*$I$70)</f>
        <v>15565.753719966637</v>
      </c>
      <c r="T32" s="180">
        <f>($B$57*$H$57)+((1-($D$21*$H$21))*$I$70)</f>
        <v>15565.753719966637</v>
      </c>
      <c r="U32" s="56"/>
      <c r="V32" s="56"/>
      <c r="W32" s="114"/>
      <c r="X32" s="117">
        <f>X9</f>
        <v>1</v>
      </c>
      <c r="Y32" s="109"/>
      <c r="Z32" s="121">
        <f>Z9</f>
        <v>0.33672131238762609</v>
      </c>
      <c r="AA32" s="146">
        <f>$J32*Z32</f>
        <v>328.63702757297409</v>
      </c>
      <c r="AB32" s="121">
        <f>AB9</f>
        <v>0.35278490966932236</v>
      </c>
      <c r="AC32" s="146">
        <f>$J32*AB32</f>
        <v>344.31495667509398</v>
      </c>
      <c r="AD32" s="121">
        <f>AD9</f>
        <v>0.31049377794305155</v>
      </c>
      <c r="AE32" s="146">
        <f>$J32*AD32</f>
        <v>303.03918554950758</v>
      </c>
      <c r="AF32" s="121">
        <f t="shared" si="24"/>
        <v>0</v>
      </c>
      <c r="AG32" s="146">
        <f t="shared" si="26"/>
        <v>0</v>
      </c>
      <c r="AH32" s="122">
        <f t="shared" si="27"/>
        <v>1</v>
      </c>
      <c r="AI32" s="111">
        <f t="shared" si="27"/>
        <v>975.99116979757571</v>
      </c>
      <c r="AJ32" s="147">
        <f t="shared" si="28"/>
        <v>672.95198424806813</v>
      </c>
      <c r="AK32" s="146">
        <f t="shared" si="29"/>
        <v>303.03918554950758</v>
      </c>
      <c r="AP32" s="25"/>
      <c r="AQ32" s="25"/>
      <c r="AR32" s="25"/>
      <c r="AS32" s="25"/>
      <c r="AT32" s="25"/>
      <c r="AU32" s="25"/>
      <c r="AW32" s="25"/>
      <c r="AX32" s="25"/>
      <c r="AY32" s="25"/>
      <c r="AZ32" s="25"/>
      <c r="BA32" s="25"/>
      <c r="BB32" s="25"/>
      <c r="BF32" s="25"/>
      <c r="BG32" s="25"/>
      <c r="BH32" s="25"/>
      <c r="BI32" s="25"/>
      <c r="BJ32" s="25"/>
      <c r="BK32" s="25"/>
      <c r="BM32" s="25"/>
      <c r="BN32" s="25"/>
      <c r="BO32" s="25"/>
      <c r="BP32" s="25"/>
      <c r="BQ32" s="25"/>
      <c r="BR32" s="25"/>
      <c r="BU32" s="25"/>
      <c r="BV32" s="25"/>
      <c r="BW32" s="25"/>
      <c r="BX32" s="25"/>
      <c r="BY32" s="25"/>
      <c r="BZ32" s="25"/>
      <c r="CB32" s="25"/>
      <c r="CC32" s="25"/>
      <c r="CD32" s="25"/>
      <c r="CE32" s="25"/>
      <c r="CF32" s="25"/>
      <c r="CG32" s="25"/>
    </row>
    <row r="33" spans="1:85" ht="14" customHeight="1">
      <c r="A33" s="85" t="str">
        <f>IF(Poor!A33=0,"",Poor!A33)</f>
        <v>Chicken sales: no. sold</v>
      </c>
      <c r="B33" s="103">
        <f>IF([1]Summ!$J1068="",0,[1]Summ!$J1068)</f>
        <v>405</v>
      </c>
      <c r="C33" s="103">
        <f>IF([1]Summ!$J1068="",0,[1]Summ!$J1068)</f>
        <v>405</v>
      </c>
      <c r="D33" s="38">
        <f t="shared" si="17"/>
        <v>810</v>
      </c>
      <c r="E33" s="75">
        <f>Middle!E33</f>
        <v>1</v>
      </c>
      <c r="F33" s="75">
        <f>Middle!F33</f>
        <v>1.0900000000000001</v>
      </c>
      <c r="G33" s="22">
        <f t="shared" si="25"/>
        <v>1.1200000000000001</v>
      </c>
      <c r="H33" s="24">
        <f t="shared" si="18"/>
        <v>1.0900000000000001</v>
      </c>
      <c r="I33" s="39">
        <f t="shared" si="19"/>
        <v>882.90000000000009</v>
      </c>
      <c r="J33" s="38">
        <f t="shared" si="20"/>
        <v>439.19602640890912</v>
      </c>
      <c r="K33" s="40">
        <f t="shared" si="21"/>
        <v>1.3489481619395509E-3</v>
      </c>
      <c r="L33" s="22">
        <f t="shared" si="22"/>
        <v>1.4703534965141106E-3</v>
      </c>
      <c r="M33" s="24">
        <f t="shared" si="23"/>
        <v>1.462846105075191E-3</v>
      </c>
      <c r="N33" s="2"/>
      <c r="O33" s="2"/>
      <c r="P33" s="2"/>
      <c r="Q33" s="59" t="s">
        <v>146</v>
      </c>
      <c r="R33" s="180">
        <f>$B$57+$B$58+((1-$D$21)*$B$70)</f>
        <v>23434.106818446522</v>
      </c>
      <c r="S33" s="41">
        <f>(($B$57*$H$57)+($B$58*$H$58)+((1-($D$21*$H$21))*$I$70))</f>
        <v>26373.453719966637</v>
      </c>
      <c r="T33" s="41">
        <f>(($B$57*$H$57)+($B$58*$H$58)+((1-($D$21*$H$21))*$I$70))</f>
        <v>26373.453719966637</v>
      </c>
      <c r="U33" s="56"/>
      <c r="V33" s="56"/>
      <c r="W33" s="114"/>
      <c r="X33" s="117">
        <f>X11</f>
        <v>1</v>
      </c>
      <c r="Y33" s="109"/>
      <c r="Z33" s="121">
        <f>Z11</f>
        <v>0.33672131238762615</v>
      </c>
      <c r="AA33" s="146">
        <f>$J33*Z33</f>
        <v>147.8866624078384</v>
      </c>
      <c r="AB33" s="121">
        <f>AB11</f>
        <v>0.35278490966932241</v>
      </c>
      <c r="AC33" s="146">
        <f>$J33*AB33</f>
        <v>154.94173050379234</v>
      </c>
      <c r="AD33" s="121">
        <f>AD11</f>
        <v>0.3104937779430515</v>
      </c>
      <c r="AE33" s="146">
        <f>$J33*AD33</f>
        <v>136.3676334972784</v>
      </c>
      <c r="AF33" s="121">
        <f t="shared" si="24"/>
        <v>0</v>
      </c>
      <c r="AG33" s="146">
        <f t="shared" si="26"/>
        <v>0</v>
      </c>
      <c r="AH33" s="122">
        <f t="shared" si="27"/>
        <v>1</v>
      </c>
      <c r="AI33" s="111">
        <f t="shared" si="27"/>
        <v>439.19602640890918</v>
      </c>
      <c r="AJ33" s="147">
        <f t="shared" si="28"/>
        <v>302.82839291163077</v>
      </c>
      <c r="AK33" s="146">
        <f t="shared" si="29"/>
        <v>136.3676334972784</v>
      </c>
      <c r="AP33" s="25"/>
      <c r="AQ33" s="25"/>
      <c r="AR33" s="25"/>
      <c r="AS33" s="25"/>
      <c r="AT33" s="25"/>
      <c r="AU33" s="25"/>
      <c r="AW33" s="25"/>
      <c r="AX33" s="25"/>
      <c r="AY33" s="25"/>
      <c r="AZ33" s="25"/>
      <c r="BA33" s="25"/>
      <c r="BB33" s="25"/>
      <c r="BF33" s="25"/>
      <c r="BG33" s="25"/>
      <c r="BH33" s="25"/>
      <c r="BI33" s="25"/>
      <c r="BJ33" s="25"/>
      <c r="BK33" s="25"/>
      <c r="BM33" s="25"/>
      <c r="BN33" s="25"/>
      <c r="BO33" s="25"/>
      <c r="BP33" s="25"/>
      <c r="BQ33" s="25"/>
      <c r="BR33" s="25"/>
      <c r="BU33" s="25"/>
      <c r="BV33" s="25"/>
      <c r="BW33" s="25"/>
      <c r="BX33" s="25"/>
      <c r="BY33" s="25"/>
      <c r="BZ33" s="25"/>
      <c r="CB33" s="25"/>
      <c r="CC33" s="25"/>
      <c r="CD33" s="25"/>
      <c r="CE33" s="25"/>
      <c r="CF33" s="25"/>
      <c r="CG33" s="25"/>
    </row>
    <row r="34" spans="1:85" ht="14" customHeight="1">
      <c r="A34" s="85" t="str">
        <f>IF(Poor!A34=0,"",Poor!A34)</f>
        <v>Maize: kg produced</v>
      </c>
      <c r="B34" s="103">
        <f>IF([1]Summ!$J1069="",0,[1]Summ!$J1069)</f>
        <v>900</v>
      </c>
      <c r="C34" s="103">
        <f>IF([1]Summ!$J1069="",0,[1]Summ!$J1069)</f>
        <v>900</v>
      </c>
      <c r="D34" s="38">
        <f t="shared" si="17"/>
        <v>1800</v>
      </c>
      <c r="E34" s="75">
        <f>Middle!E34</f>
        <v>1</v>
      </c>
      <c r="F34" s="75">
        <f>Middle!F34</f>
        <v>1.02</v>
      </c>
      <c r="G34" s="22">
        <f t="shared" si="25"/>
        <v>1.1200000000000001</v>
      </c>
      <c r="H34" s="24">
        <f t="shared" si="18"/>
        <v>1.02</v>
      </c>
      <c r="I34" s="39">
        <f t="shared" si="19"/>
        <v>1836</v>
      </c>
      <c r="J34" s="38">
        <f t="shared" si="20"/>
        <v>913.31283779222679</v>
      </c>
      <c r="K34" s="40">
        <f t="shared" si="21"/>
        <v>2.9976625820878908E-3</v>
      </c>
      <c r="L34" s="22">
        <f t="shared" si="22"/>
        <v>3.0576158337296488E-3</v>
      </c>
      <c r="M34" s="24">
        <f t="shared" si="23"/>
        <v>3.0420041328780728E-3</v>
      </c>
      <c r="N34" s="2"/>
      <c r="O34" s="2"/>
      <c r="P34" s="2"/>
      <c r="Q34" s="59" t="s">
        <v>147</v>
      </c>
      <c r="R34" s="180">
        <f>$B$57+$B$58+$B$59+((1-$D$21)*$B$70)</f>
        <v>40774.106818446526</v>
      </c>
      <c r="S34" s="41">
        <f>(($B$57*$H$57)+($B$58*$H$58)+($B$59*$H$59)+((1-($D$21*$H$21))*$I$70))</f>
        <v>45620.853719966639</v>
      </c>
      <c r="T34" s="41">
        <f>(($B$57*$H$57)+($B$58*$H$58)+($B$59*$H$59)+((1-($D$21*$H$21))*$I$70))</f>
        <v>45620.853719966639</v>
      </c>
      <c r="U34" s="56"/>
      <c r="V34" s="56"/>
      <c r="W34" s="114"/>
      <c r="X34" s="117"/>
      <c r="Y34" s="109"/>
      <c r="Z34" s="155">
        <f>Poor!Z34</f>
        <v>0.25</v>
      </c>
      <c r="AA34" s="146">
        <f t="shared" ref="AA34:AA51" si="30">$J34*Z34</f>
        <v>228.3282094480567</v>
      </c>
      <c r="AB34" s="155">
        <f>Poor!AB34</f>
        <v>0</v>
      </c>
      <c r="AC34" s="146">
        <f t="shared" ref="AC34:AC51" si="31">$J34*AB34</f>
        <v>0</v>
      </c>
      <c r="AD34" s="155">
        <f>Poor!AD34</f>
        <v>0.5</v>
      </c>
      <c r="AE34" s="146">
        <f t="shared" ref="AE34:AE51" si="32">$J34*AD34</f>
        <v>456.65641889611339</v>
      </c>
      <c r="AF34" s="121">
        <f t="shared" si="24"/>
        <v>0.25</v>
      </c>
      <c r="AG34" s="146">
        <f t="shared" si="26"/>
        <v>228.3282094480567</v>
      </c>
      <c r="AH34" s="122">
        <f t="shared" si="27"/>
        <v>1</v>
      </c>
      <c r="AI34" s="111">
        <f t="shared" si="27"/>
        <v>913.31283779222679</v>
      </c>
      <c r="AJ34" s="147">
        <f t="shared" si="28"/>
        <v>228.3282094480567</v>
      </c>
      <c r="AK34" s="146">
        <f t="shared" si="29"/>
        <v>684.98462834417012</v>
      </c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5" ht="14" customHeight="1">
      <c r="A35" s="85" t="str">
        <f>IF(Poor!A35=0,"",Poor!A35)</f>
        <v>Cowpeas: kg produced</v>
      </c>
      <c r="B35" s="103">
        <f>IF([1]Summ!$J1070="",0,[1]Summ!$J1070)</f>
        <v>150</v>
      </c>
      <c r="C35" s="103">
        <f>IF([1]Summ!$J1070="",0,[1]Summ!$J1070)</f>
        <v>150</v>
      </c>
      <c r="D35" s="38">
        <f t="shared" si="17"/>
        <v>300</v>
      </c>
      <c r="E35" s="75">
        <f>Middle!E35</f>
        <v>1</v>
      </c>
      <c r="F35" s="75">
        <f>Middle!F35</f>
        <v>1</v>
      </c>
      <c r="G35" s="22">
        <f t="shared" si="25"/>
        <v>1.1200000000000001</v>
      </c>
      <c r="H35" s="24">
        <f t="shared" si="18"/>
        <v>1</v>
      </c>
      <c r="I35" s="39">
        <f t="shared" si="19"/>
        <v>300</v>
      </c>
      <c r="J35" s="38">
        <f t="shared" si="20"/>
        <v>149.23412382225928</v>
      </c>
      <c r="K35" s="40">
        <f t="shared" si="21"/>
        <v>4.996104303479818E-4</v>
      </c>
      <c r="L35" s="22">
        <f t="shared" si="22"/>
        <v>4.996104303479818E-4</v>
      </c>
      <c r="M35" s="24">
        <f t="shared" si="23"/>
        <v>4.970594988362864E-4</v>
      </c>
      <c r="N35" s="2"/>
      <c r="O35" s="2"/>
      <c r="P35" s="2"/>
      <c r="Q35" s="59" t="s">
        <v>148</v>
      </c>
      <c r="R35" s="180">
        <f>$B$57+$B$58+$B$59+$B$60+((1-$D$20-$D$21)*$B$70)</f>
        <v>83839.106818446526</v>
      </c>
      <c r="S35" s="41">
        <f>(($B$57*$H$57)+($B$58*$H$58)+($B$59*$H$59)+($B$60*$H$60)+((1-($D$20*$H$20)-($D$21*$H$21))*$I$70))</f>
        <v>93423.00371996664</v>
      </c>
      <c r="T35" s="41">
        <f>(($B$57*$H$57)+($B$58*$H$58)+($B$59*$H$59)+($B$60*$H$60)+((1-($D$20*$H$20)-($D$21*$H$21))*$I$70))</f>
        <v>93423.00371996664</v>
      </c>
      <c r="U35" s="56"/>
      <c r="V35" s="56"/>
      <c r="W35" s="114"/>
      <c r="X35" s="117"/>
      <c r="Y35" s="109"/>
      <c r="Z35" s="155">
        <f>Poor!Z35</f>
        <v>0.25</v>
      </c>
      <c r="AA35" s="146">
        <f t="shared" si="30"/>
        <v>37.308530955564819</v>
      </c>
      <c r="AB35" s="155">
        <f>Poor!AB35</f>
        <v>0.25</v>
      </c>
      <c r="AC35" s="146">
        <f t="shared" si="31"/>
        <v>37.308530955564819</v>
      </c>
      <c r="AD35" s="155">
        <f>Poor!AD35</f>
        <v>0.25</v>
      </c>
      <c r="AE35" s="146">
        <f t="shared" si="32"/>
        <v>37.308530955564819</v>
      </c>
      <c r="AF35" s="121">
        <f t="shared" si="24"/>
        <v>0.25</v>
      </c>
      <c r="AG35" s="146">
        <f t="shared" si="26"/>
        <v>37.308530955564819</v>
      </c>
      <c r="AH35" s="122">
        <f t="shared" si="27"/>
        <v>1</v>
      </c>
      <c r="AI35" s="111">
        <f t="shared" si="27"/>
        <v>149.23412382225928</v>
      </c>
      <c r="AJ35" s="147">
        <f t="shared" si="28"/>
        <v>74.617061911129639</v>
      </c>
      <c r="AK35" s="146">
        <f t="shared" si="29"/>
        <v>74.617061911129639</v>
      </c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5" ht="14" customHeight="1">
      <c r="A36" s="85" t="str">
        <f>IF(Poor!A36=0,"",Poor!A36)</f>
        <v>Pumpkin: kg produce</v>
      </c>
      <c r="B36" s="103">
        <f>IF([1]Summ!$J1071="",0,[1]Summ!$J1071)</f>
        <v>1500</v>
      </c>
      <c r="C36" s="103">
        <f>IF([1]Summ!$J1071="",0,[1]Summ!$J1071)</f>
        <v>1500</v>
      </c>
      <c r="D36" s="38">
        <f t="shared" si="17"/>
        <v>3000</v>
      </c>
      <c r="E36" s="75">
        <f>Middle!E36</f>
        <v>1</v>
      </c>
      <c r="F36" s="75">
        <f>Middle!F36</f>
        <v>1.1000000000000001</v>
      </c>
      <c r="G36" s="22">
        <f t="shared" si="25"/>
        <v>1.1200000000000001</v>
      </c>
      <c r="H36" s="24">
        <f t="shared" si="18"/>
        <v>1.1000000000000001</v>
      </c>
      <c r="I36" s="39">
        <f t="shared" si="19"/>
        <v>3300.0000000000005</v>
      </c>
      <c r="J36" s="38">
        <f t="shared" si="20"/>
        <v>1641.5753620448522</v>
      </c>
      <c r="K36" s="40">
        <f t="shared" si="21"/>
        <v>4.996104303479818E-3</v>
      </c>
      <c r="L36" s="22">
        <f t="shared" si="22"/>
        <v>5.4957147338278002E-3</v>
      </c>
      <c r="M36" s="24">
        <f t="shared" si="23"/>
        <v>5.4676544871991514E-3</v>
      </c>
      <c r="N36" s="2"/>
      <c r="O36" s="2"/>
      <c r="P36" s="2"/>
      <c r="Q36" s="59"/>
      <c r="R36" s="219"/>
      <c r="S36" s="219"/>
      <c r="T36" s="219"/>
      <c r="U36" s="56"/>
      <c r="V36" s="56"/>
      <c r="W36" s="116"/>
      <c r="X36" s="117"/>
      <c r="Y36" s="109"/>
      <c r="Z36" s="155">
        <f>Poor!Z36</f>
        <v>0.25</v>
      </c>
      <c r="AA36" s="146">
        <f t="shared" si="30"/>
        <v>410.39384051121306</v>
      </c>
      <c r="AB36" s="155">
        <f>Poor!AB36</f>
        <v>0.25</v>
      </c>
      <c r="AC36" s="146">
        <f t="shared" si="31"/>
        <v>410.39384051121306</v>
      </c>
      <c r="AD36" s="155">
        <f>Poor!AD36</f>
        <v>0.25</v>
      </c>
      <c r="AE36" s="146">
        <f t="shared" si="32"/>
        <v>410.39384051121306</v>
      </c>
      <c r="AF36" s="121">
        <f t="shared" si="24"/>
        <v>0.25</v>
      </c>
      <c r="AG36" s="146">
        <f t="shared" si="26"/>
        <v>410.39384051121306</v>
      </c>
      <c r="AH36" s="122">
        <f t="shared" si="27"/>
        <v>1</v>
      </c>
      <c r="AI36" s="111">
        <f t="shared" si="27"/>
        <v>1641.5753620448522</v>
      </c>
      <c r="AJ36" s="147">
        <f t="shared" si="28"/>
        <v>820.78768102242611</v>
      </c>
      <c r="AK36" s="146">
        <f t="shared" si="29"/>
        <v>820.78768102242611</v>
      </c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5" ht="14" customHeight="1">
      <c r="A37" s="85" t="str">
        <f>IF(Poor!A37=0,"",Poor!A37)</f>
        <v>Cabbage: number produced</v>
      </c>
      <c r="B37" s="103">
        <f>IF([1]Summ!$J1072="",0,[1]Summ!$J1072)</f>
        <v>150</v>
      </c>
      <c r="C37" s="103">
        <f>IF([1]Summ!$J1072="",0,[1]Summ!$J1072)</f>
        <v>150</v>
      </c>
      <c r="D37" s="38">
        <f t="shared" si="17"/>
        <v>300</v>
      </c>
      <c r="E37" s="75">
        <f>Middle!E37</f>
        <v>1</v>
      </c>
      <c r="F37" s="75">
        <f>Middle!F37</f>
        <v>1.08</v>
      </c>
      <c r="G37" s="22">
        <f t="shared" si="25"/>
        <v>1.1200000000000001</v>
      </c>
      <c r="H37" s="24">
        <f t="shared" si="18"/>
        <v>1.08</v>
      </c>
      <c r="I37" s="39">
        <f t="shared" si="19"/>
        <v>324</v>
      </c>
      <c r="J37" s="38">
        <f t="shared" si="20"/>
        <v>161.17285372804002</v>
      </c>
      <c r="K37" s="40">
        <f t="shared" si="21"/>
        <v>4.996104303479818E-4</v>
      </c>
      <c r="L37" s="22">
        <f t="shared" si="22"/>
        <v>5.395792647758204E-4</v>
      </c>
      <c r="M37" s="24">
        <f t="shared" si="23"/>
        <v>5.3682425874318929E-4</v>
      </c>
      <c r="N37" s="2"/>
      <c r="O37" s="2"/>
      <c r="P37" s="2"/>
      <c r="Q37" s="56"/>
      <c r="R37" s="56"/>
      <c r="S37" s="56"/>
      <c r="T37" s="56"/>
      <c r="U37" s="56"/>
      <c r="V37" s="56"/>
      <c r="W37" s="109"/>
      <c r="X37" s="117"/>
      <c r="Y37" s="109"/>
      <c r="Z37" s="155">
        <f>Poor!Z37</f>
        <v>0.25</v>
      </c>
      <c r="AA37" s="146">
        <f t="shared" si="30"/>
        <v>40.293213432010006</v>
      </c>
      <c r="AB37" s="155">
        <f>Poor!AB37</f>
        <v>0.25</v>
      </c>
      <c r="AC37" s="146">
        <f t="shared" si="31"/>
        <v>40.293213432010006</v>
      </c>
      <c r="AD37" s="155">
        <f>Poor!AD37</f>
        <v>0.25</v>
      </c>
      <c r="AE37" s="146">
        <f t="shared" si="32"/>
        <v>40.293213432010006</v>
      </c>
      <c r="AF37" s="121">
        <f t="shared" si="24"/>
        <v>0.25</v>
      </c>
      <c r="AG37" s="146">
        <f t="shared" si="26"/>
        <v>40.293213432010006</v>
      </c>
      <c r="AH37" s="122">
        <f t="shared" si="27"/>
        <v>1</v>
      </c>
      <c r="AI37" s="111">
        <f t="shared" si="27"/>
        <v>161.17285372804002</v>
      </c>
      <c r="AJ37" s="147">
        <f t="shared" si="28"/>
        <v>80.586426864020012</v>
      </c>
      <c r="AK37" s="146">
        <f t="shared" si="29"/>
        <v>80.586426864020012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5" ht="14" customHeight="1">
      <c r="A38" s="85" t="str">
        <f>IF(Poor!A38=0,"",Poor!A38)</f>
        <v>Tomato: kg produced</v>
      </c>
      <c r="B38" s="103">
        <f>IF([1]Summ!$J1073="",0,[1]Summ!$J1073)</f>
        <v>7000</v>
      </c>
      <c r="C38" s="103">
        <f>IF([1]Summ!$J1073="",0,[1]Summ!$J1073)</f>
        <v>7000</v>
      </c>
      <c r="D38" s="38">
        <f t="shared" si="17"/>
        <v>14000</v>
      </c>
      <c r="E38" s="75">
        <f>Middle!E38</f>
        <v>1</v>
      </c>
      <c r="F38" s="75">
        <f>Middle!F38</f>
        <v>0.94</v>
      </c>
      <c r="G38" s="22">
        <f t="shared" si="25"/>
        <v>1.1200000000000001</v>
      </c>
      <c r="H38" s="24">
        <f t="shared" si="18"/>
        <v>0.94</v>
      </c>
      <c r="I38" s="39">
        <f t="shared" si="19"/>
        <v>13160</v>
      </c>
      <c r="J38" s="38">
        <f t="shared" si="20"/>
        <v>6546.4035650031055</v>
      </c>
      <c r="K38" s="40">
        <f t="shared" si="21"/>
        <v>2.3315153416239152E-2</v>
      </c>
      <c r="L38" s="22">
        <f t="shared" si="22"/>
        <v>2.1916244211264802E-2</v>
      </c>
      <c r="M38" s="24">
        <f t="shared" si="23"/>
        <v>2.180434334895176E-2</v>
      </c>
      <c r="N38" s="2"/>
      <c r="O38" s="2"/>
      <c r="P38" s="2"/>
      <c r="Q38" s="59"/>
      <c r="R38" s="219"/>
      <c r="S38" s="219"/>
      <c r="T38" s="219"/>
      <c r="U38" s="56"/>
      <c r="V38" s="56"/>
      <c r="W38" s="109"/>
      <c r="X38" s="117"/>
      <c r="Y38" s="109"/>
      <c r="Z38" s="155">
        <f>Poor!Z38</f>
        <v>0.25</v>
      </c>
      <c r="AA38" s="146">
        <f t="shared" si="30"/>
        <v>1636.6008912507764</v>
      </c>
      <c r="AB38" s="155">
        <f>Poor!AB38</f>
        <v>0.25</v>
      </c>
      <c r="AC38" s="146">
        <f t="shared" si="31"/>
        <v>1636.6008912507764</v>
      </c>
      <c r="AD38" s="155">
        <f>Poor!AD38</f>
        <v>0.25</v>
      </c>
      <c r="AE38" s="146">
        <f t="shared" si="32"/>
        <v>1636.6008912507764</v>
      </c>
      <c r="AF38" s="121">
        <f t="shared" si="24"/>
        <v>0.25</v>
      </c>
      <c r="AG38" s="146">
        <f t="shared" si="26"/>
        <v>1636.6008912507764</v>
      </c>
      <c r="AH38" s="122">
        <f t="shared" si="27"/>
        <v>1</v>
      </c>
      <c r="AI38" s="111">
        <f t="shared" si="27"/>
        <v>6546.4035650031055</v>
      </c>
      <c r="AJ38" s="147">
        <f t="shared" si="28"/>
        <v>3273.2017825015528</v>
      </c>
      <c r="AK38" s="146">
        <f t="shared" si="29"/>
        <v>3273.2017825015528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5" ht="14" customHeight="1">
      <c r="A39" s="85" t="str">
        <f>IF(Poor!A39=0,"",Poor!A39)</f>
        <v>Onions: kg produced</v>
      </c>
      <c r="B39" s="103">
        <f>IF([1]Summ!$J1074="",0,[1]Summ!$J1074)</f>
        <v>3500</v>
      </c>
      <c r="C39" s="103">
        <f>IF([1]Summ!$J1074="",0,[1]Summ!$J1074)</f>
        <v>3500</v>
      </c>
      <c r="D39" s="38">
        <f t="shared" si="17"/>
        <v>7000</v>
      </c>
      <c r="E39" s="75">
        <f>Middle!E39</f>
        <v>1</v>
      </c>
      <c r="F39" s="75">
        <f>Middle!F39</f>
        <v>0.93</v>
      </c>
      <c r="G39" s="22">
        <f t="shared" si="25"/>
        <v>1.1200000000000001</v>
      </c>
      <c r="H39" s="24">
        <f t="shared" si="18"/>
        <v>0.93</v>
      </c>
      <c r="I39" s="39">
        <f t="shared" si="19"/>
        <v>6510</v>
      </c>
      <c r="J39" s="38">
        <f t="shared" si="20"/>
        <v>3238.3804869430264</v>
      </c>
      <c r="K39" s="40">
        <f t="shared" si="21"/>
        <v>1.1657576708119576E-2</v>
      </c>
      <c r="L39" s="22">
        <f t="shared" si="22"/>
        <v>1.0841546338551207E-2</v>
      </c>
      <c r="M39" s="24">
        <f t="shared" si="23"/>
        <v>1.0786191124747416E-2</v>
      </c>
      <c r="N39" s="2"/>
      <c r="O39" s="2"/>
      <c r="P39" s="2"/>
      <c r="Q39" s="2"/>
      <c r="R39" s="2"/>
      <c r="S39" s="2"/>
      <c r="T39" s="2"/>
      <c r="U39" s="56"/>
      <c r="V39" s="56"/>
      <c r="W39" s="109"/>
      <c r="X39" s="117"/>
      <c r="Y39" s="109"/>
      <c r="Z39" s="155">
        <f>Poor!Z39</f>
        <v>0.25</v>
      </c>
      <c r="AA39" s="146">
        <f t="shared" si="30"/>
        <v>809.59512173575661</v>
      </c>
      <c r="AB39" s="155">
        <f>Poor!AB39</f>
        <v>0.25</v>
      </c>
      <c r="AC39" s="146">
        <f t="shared" si="31"/>
        <v>809.59512173575661</v>
      </c>
      <c r="AD39" s="155">
        <f>Poor!AD39</f>
        <v>0.25</v>
      </c>
      <c r="AE39" s="146">
        <f t="shared" si="32"/>
        <v>809.59512173575661</v>
      </c>
      <c r="AF39" s="121">
        <f t="shared" si="24"/>
        <v>0.25</v>
      </c>
      <c r="AG39" s="146">
        <f t="shared" si="26"/>
        <v>809.59512173575661</v>
      </c>
      <c r="AH39" s="122">
        <f t="shared" si="27"/>
        <v>1</v>
      </c>
      <c r="AI39" s="111">
        <f t="shared" si="27"/>
        <v>3238.3804869430264</v>
      </c>
      <c r="AJ39" s="147">
        <f t="shared" si="28"/>
        <v>1619.1902434715132</v>
      </c>
      <c r="AK39" s="146">
        <f t="shared" si="29"/>
        <v>1619.1902434715132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5" ht="14" customHeight="1">
      <c r="A40" s="85" t="str">
        <f>IF(Poor!A40=0,"",Poor!A40)</f>
        <v>Beetroot: kg produced</v>
      </c>
      <c r="B40" s="103">
        <f>IF([1]Summ!$J1075="",0,[1]Summ!$J1075)</f>
        <v>200</v>
      </c>
      <c r="C40" s="103">
        <f>IF([1]Summ!$J1075="",0,[1]Summ!$J1075)</f>
        <v>200</v>
      </c>
      <c r="D40" s="38">
        <f t="shared" si="17"/>
        <v>400</v>
      </c>
      <c r="E40" s="75">
        <f>Middle!E40</f>
        <v>1</v>
      </c>
      <c r="F40" s="75">
        <f>Middle!F40</f>
        <v>1</v>
      </c>
      <c r="G40" s="22">
        <f t="shared" si="25"/>
        <v>1.1200000000000001</v>
      </c>
      <c r="H40" s="24">
        <f t="shared" si="18"/>
        <v>1</v>
      </c>
      <c r="I40" s="39">
        <f t="shared" si="19"/>
        <v>400</v>
      </c>
      <c r="J40" s="38">
        <f t="shared" si="20"/>
        <v>198.97883176301232</v>
      </c>
      <c r="K40" s="40">
        <f t="shared" si="21"/>
        <v>6.6614724046397573E-4</v>
      </c>
      <c r="L40" s="22">
        <f t="shared" si="22"/>
        <v>6.6614724046397573E-4</v>
      </c>
      <c r="M40" s="24">
        <f t="shared" si="23"/>
        <v>6.6274599844838176E-4</v>
      </c>
      <c r="N40" s="2"/>
      <c r="O40" s="2"/>
      <c r="P40" s="2"/>
      <c r="Q40" s="2"/>
      <c r="R40" s="2"/>
      <c r="S40" s="2"/>
      <c r="T40" s="2"/>
      <c r="U40" s="56"/>
      <c r="V40" s="56"/>
      <c r="W40" s="109"/>
      <c r="X40" s="117"/>
      <c r="Y40" s="109"/>
      <c r="Z40" s="155">
        <f>Poor!Z40</f>
        <v>0.25</v>
      </c>
      <c r="AA40" s="146">
        <f t="shared" si="30"/>
        <v>49.744707940753081</v>
      </c>
      <c r="AB40" s="155">
        <f>Poor!AB40</f>
        <v>0.25</v>
      </c>
      <c r="AC40" s="146">
        <f t="shared" si="31"/>
        <v>49.744707940753081</v>
      </c>
      <c r="AD40" s="155">
        <f>Poor!AD40</f>
        <v>0.25</v>
      </c>
      <c r="AE40" s="146">
        <f t="shared" si="32"/>
        <v>49.744707940753081</v>
      </c>
      <c r="AF40" s="121">
        <f t="shared" si="24"/>
        <v>0.25</v>
      </c>
      <c r="AG40" s="146">
        <f t="shared" si="26"/>
        <v>49.744707940753081</v>
      </c>
      <c r="AH40" s="122">
        <f t="shared" si="27"/>
        <v>1</v>
      </c>
      <c r="AI40" s="111">
        <f t="shared" si="27"/>
        <v>198.97883176301232</v>
      </c>
      <c r="AJ40" s="147">
        <f t="shared" si="28"/>
        <v>99.489415881506162</v>
      </c>
      <c r="AK40" s="146">
        <f t="shared" si="29"/>
        <v>99.489415881506162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5" ht="14" customHeight="1">
      <c r="A41" s="85" t="str">
        <f>IF(Poor!A41=0,"",Poor!A41)</f>
        <v>Spinach: kg produced</v>
      </c>
      <c r="B41" s="103">
        <f>IF([1]Summ!$J1076="",0,[1]Summ!$J1076)</f>
        <v>250</v>
      </c>
      <c r="C41" s="103">
        <f>IF([1]Summ!$J1076="",0,[1]Summ!$J1076)</f>
        <v>250</v>
      </c>
      <c r="D41" s="38">
        <f t="shared" si="17"/>
        <v>500</v>
      </c>
      <c r="E41" s="75">
        <f>Middle!E41</f>
        <v>1</v>
      </c>
      <c r="F41" s="75">
        <f>Middle!F41</f>
        <v>1.03</v>
      </c>
      <c r="G41" s="22">
        <f t="shared" si="25"/>
        <v>1.1200000000000001</v>
      </c>
      <c r="H41" s="24">
        <f t="shared" si="18"/>
        <v>1.03</v>
      </c>
      <c r="I41" s="39">
        <f t="shared" si="19"/>
        <v>515</v>
      </c>
      <c r="J41" s="38">
        <f t="shared" si="20"/>
        <v>256.18524589487839</v>
      </c>
      <c r="K41" s="40">
        <f t="shared" si="21"/>
        <v>8.3268405057996967E-4</v>
      </c>
      <c r="L41" s="22">
        <f t="shared" si="22"/>
        <v>8.5766457209736878E-4</v>
      </c>
      <c r="M41" s="24">
        <f t="shared" si="23"/>
        <v>8.5328547300229159E-4</v>
      </c>
      <c r="N41" s="2"/>
      <c r="O41" s="2"/>
      <c r="P41" s="2"/>
      <c r="Q41" s="2"/>
      <c r="R41" s="2"/>
      <c r="S41" s="2"/>
      <c r="T41" s="2"/>
      <c r="U41" s="56"/>
      <c r="V41" s="56"/>
      <c r="W41" s="109"/>
      <c r="X41" s="117"/>
      <c r="Y41" s="109"/>
      <c r="Z41" s="155">
        <f>Poor!Z41</f>
        <v>0.25</v>
      </c>
      <c r="AA41" s="146">
        <f t="shared" si="30"/>
        <v>64.046311473719598</v>
      </c>
      <c r="AB41" s="155">
        <f>Poor!AB41</f>
        <v>0.25</v>
      </c>
      <c r="AC41" s="146">
        <f t="shared" si="31"/>
        <v>64.046311473719598</v>
      </c>
      <c r="AD41" s="155">
        <f>Poor!AD41</f>
        <v>0.25</v>
      </c>
      <c r="AE41" s="146">
        <f t="shared" si="32"/>
        <v>64.046311473719598</v>
      </c>
      <c r="AF41" s="121">
        <f t="shared" si="24"/>
        <v>0.25</v>
      </c>
      <c r="AG41" s="146">
        <f t="shared" si="26"/>
        <v>64.046311473719598</v>
      </c>
      <c r="AH41" s="122">
        <f t="shared" si="27"/>
        <v>1</v>
      </c>
      <c r="AI41" s="111">
        <f t="shared" si="27"/>
        <v>256.18524589487839</v>
      </c>
      <c r="AJ41" s="147">
        <f t="shared" si="28"/>
        <v>128.0926229474392</v>
      </c>
      <c r="AK41" s="146">
        <f t="shared" si="29"/>
        <v>128.0926229474392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5" ht="14" customHeight="1">
      <c r="A42" s="85" t="str">
        <f>IF(Poor!A42=0,"",Poor!A42)</f>
        <v>WILD FOODS -- see worksheet Data 3</v>
      </c>
      <c r="B42" s="103">
        <f>IF([1]Summ!$J1077="",0,[1]Summ!$J1077)</f>
        <v>0</v>
      </c>
      <c r="C42" s="103">
        <f>IF([1]Summ!$J1077="",0,[1]Summ!$J1077)</f>
        <v>0</v>
      </c>
      <c r="D42" s="38">
        <f t="shared" si="17"/>
        <v>0</v>
      </c>
      <c r="E42" s="75">
        <f>Middle!E42</f>
        <v>0.8</v>
      </c>
      <c r="F42" s="75">
        <f>Middle!F42</f>
        <v>1</v>
      </c>
      <c r="G42" s="22">
        <f t="shared" si="25"/>
        <v>1.1200000000000001</v>
      </c>
      <c r="H42" s="24">
        <f t="shared" si="18"/>
        <v>0.8</v>
      </c>
      <c r="I42" s="39">
        <f t="shared" si="19"/>
        <v>0</v>
      </c>
      <c r="J42" s="38">
        <f t="shared" si="20"/>
        <v>0</v>
      </c>
      <c r="K42" s="40">
        <f t="shared" si="21"/>
        <v>0</v>
      </c>
      <c r="L42" s="22">
        <f t="shared" si="22"/>
        <v>0</v>
      </c>
      <c r="M42" s="24">
        <f t="shared" si="23"/>
        <v>0</v>
      </c>
      <c r="N42" s="2"/>
      <c r="O42" s="2"/>
      <c r="P42" s="2"/>
      <c r="Q42" s="2"/>
      <c r="R42" s="2"/>
      <c r="S42" s="2"/>
      <c r="T42" s="2"/>
      <c r="U42" s="56"/>
      <c r="V42" s="56"/>
      <c r="W42" s="109"/>
      <c r="X42" s="117"/>
      <c r="Y42" s="109"/>
      <c r="Z42" s="155">
        <f>Poor!Z42</f>
        <v>0.25</v>
      </c>
      <c r="AA42" s="146">
        <f t="shared" si="30"/>
        <v>0</v>
      </c>
      <c r="AB42" s="155">
        <f>Poor!AB42</f>
        <v>0.25</v>
      </c>
      <c r="AC42" s="146">
        <f t="shared" si="31"/>
        <v>0</v>
      </c>
      <c r="AD42" s="155">
        <f>Poor!AD42</f>
        <v>0.25</v>
      </c>
      <c r="AE42" s="146">
        <f t="shared" si="32"/>
        <v>0</v>
      </c>
      <c r="AF42" s="121">
        <f t="shared" si="24"/>
        <v>0.25</v>
      </c>
      <c r="AG42" s="146">
        <f t="shared" si="26"/>
        <v>0</v>
      </c>
      <c r="AH42" s="122">
        <f t="shared" si="27"/>
        <v>1</v>
      </c>
      <c r="AI42" s="111">
        <f t="shared" si="27"/>
        <v>0</v>
      </c>
      <c r="AJ42" s="147">
        <f t="shared" si="28"/>
        <v>0</v>
      </c>
      <c r="AK42" s="146">
        <f t="shared" si="2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5" ht="14" customHeight="1">
      <c r="A43" s="85" t="str">
        <f>IF(Poor!A43=0,"",Poor!A43)</f>
        <v>Agricultural cash income -- see Data2</v>
      </c>
      <c r="B43" s="103">
        <f>IF([1]Summ!$J1078="",0,[1]Summ!$J1078)</f>
        <v>0</v>
      </c>
      <c r="C43" s="103">
        <f>IF([1]Summ!$J1078="",0,[1]Summ!$J1078)</f>
        <v>0</v>
      </c>
      <c r="D43" s="38">
        <f t="shared" si="17"/>
        <v>0</v>
      </c>
      <c r="E43" s="75">
        <f>Middle!E43</f>
        <v>0.87</v>
      </c>
      <c r="F43" s="75">
        <f>Middle!F43</f>
        <v>1.1100000000000001</v>
      </c>
      <c r="G43" s="22">
        <f t="shared" si="25"/>
        <v>1.1200000000000001</v>
      </c>
      <c r="H43" s="24">
        <f t="shared" si="18"/>
        <v>0.96570000000000011</v>
      </c>
      <c r="I43" s="39">
        <f t="shared" si="19"/>
        <v>0</v>
      </c>
      <c r="J43" s="38">
        <f t="shared" si="20"/>
        <v>0</v>
      </c>
      <c r="K43" s="40">
        <f t="shared" si="21"/>
        <v>0</v>
      </c>
      <c r="L43" s="22">
        <f t="shared" si="22"/>
        <v>0</v>
      </c>
      <c r="M43" s="24">
        <f t="shared" si="23"/>
        <v>0</v>
      </c>
      <c r="N43" s="2"/>
      <c r="O43" s="2"/>
      <c r="P43" s="2"/>
      <c r="Q43" s="2"/>
      <c r="R43" s="2"/>
      <c r="S43" s="2"/>
      <c r="T43" s="2"/>
      <c r="U43" s="56"/>
      <c r="V43" s="56"/>
      <c r="W43" s="109"/>
      <c r="X43" s="117"/>
      <c r="Y43" s="109"/>
      <c r="Z43" s="155">
        <f>Poor!Z43</f>
        <v>0.25</v>
      </c>
      <c r="AA43" s="146">
        <f t="shared" si="30"/>
        <v>0</v>
      </c>
      <c r="AB43" s="155">
        <f>Poor!AB43</f>
        <v>0.25</v>
      </c>
      <c r="AC43" s="146">
        <f t="shared" si="31"/>
        <v>0</v>
      </c>
      <c r="AD43" s="155">
        <f>Poor!AD43</f>
        <v>0.25</v>
      </c>
      <c r="AE43" s="146">
        <f t="shared" si="32"/>
        <v>0</v>
      </c>
      <c r="AF43" s="121">
        <f t="shared" si="24"/>
        <v>0.25</v>
      </c>
      <c r="AG43" s="146">
        <f t="shared" si="26"/>
        <v>0</v>
      </c>
      <c r="AH43" s="122">
        <f t="shared" si="27"/>
        <v>1</v>
      </c>
      <c r="AI43" s="111">
        <f t="shared" si="27"/>
        <v>0</v>
      </c>
      <c r="AJ43" s="147">
        <f t="shared" si="28"/>
        <v>0</v>
      </c>
      <c r="AK43" s="146">
        <f t="shared" si="2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5" ht="14" customHeight="1">
      <c r="A44" s="85" t="str">
        <f>IF(Poor!A44=0,"",Poor!A44)</f>
        <v>Domestic work cash income -- see Data2</v>
      </c>
      <c r="B44" s="103">
        <f>IF([1]Summ!$J1079="",0,[1]Summ!$J1079)</f>
        <v>0</v>
      </c>
      <c r="C44" s="103">
        <f>IF([1]Summ!$J1079="",0,[1]Summ!$J1079)</f>
        <v>0</v>
      </c>
      <c r="D44" s="38">
        <f t="shared" si="17"/>
        <v>0</v>
      </c>
      <c r="E44" s="75">
        <f>Middle!E44</f>
        <v>1</v>
      </c>
      <c r="F44" s="75">
        <f>Middle!F44</f>
        <v>1.1000000000000001</v>
      </c>
      <c r="G44" s="22">
        <f t="shared" si="25"/>
        <v>1.1200000000000001</v>
      </c>
      <c r="H44" s="24">
        <f t="shared" si="18"/>
        <v>1.1000000000000001</v>
      </c>
      <c r="I44" s="39">
        <f t="shared" si="19"/>
        <v>0</v>
      </c>
      <c r="J44" s="38">
        <f t="shared" si="20"/>
        <v>0</v>
      </c>
      <c r="K44" s="40">
        <f t="shared" si="21"/>
        <v>0</v>
      </c>
      <c r="L44" s="22">
        <f t="shared" si="22"/>
        <v>0</v>
      </c>
      <c r="M44" s="24">
        <f t="shared" si="23"/>
        <v>0</v>
      </c>
      <c r="N44" s="2"/>
      <c r="O44" s="2"/>
      <c r="P44" s="2"/>
      <c r="Q44" s="2"/>
      <c r="R44" s="2"/>
      <c r="S44" s="2"/>
      <c r="T44" s="2"/>
      <c r="U44" s="56"/>
      <c r="V44" s="56"/>
      <c r="W44" s="109"/>
      <c r="X44" s="117"/>
      <c r="Y44" s="109"/>
      <c r="Z44" s="155">
        <f>Poor!Z44</f>
        <v>0.25</v>
      </c>
      <c r="AA44" s="146">
        <f t="shared" si="30"/>
        <v>0</v>
      </c>
      <c r="AB44" s="155">
        <f>Poor!AB44</f>
        <v>0.25</v>
      </c>
      <c r="AC44" s="146">
        <f t="shared" si="31"/>
        <v>0</v>
      </c>
      <c r="AD44" s="155">
        <f>Poor!AD44</f>
        <v>0.25</v>
      </c>
      <c r="AE44" s="146">
        <f t="shared" si="32"/>
        <v>0</v>
      </c>
      <c r="AF44" s="121">
        <f t="shared" si="24"/>
        <v>0.25</v>
      </c>
      <c r="AG44" s="146">
        <f t="shared" si="26"/>
        <v>0</v>
      </c>
      <c r="AH44" s="122">
        <f t="shared" si="27"/>
        <v>1</v>
      </c>
      <c r="AI44" s="111">
        <f t="shared" si="27"/>
        <v>0</v>
      </c>
      <c r="AJ44" s="147">
        <f t="shared" si="28"/>
        <v>0</v>
      </c>
      <c r="AK44" s="146">
        <f t="shared" si="2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5" ht="14" customHeight="1">
      <c r="A45" s="85" t="str">
        <f>IF(Poor!A45=0,"",Poor!A45)</f>
        <v>Formal Employment (conservancies, etc.)</v>
      </c>
      <c r="B45" s="103">
        <f>IF([1]Summ!$J1080="",0,[1]Summ!$J1080)</f>
        <v>204000</v>
      </c>
      <c r="C45" s="103">
        <f>IF([1]Summ!$J1080="",0,[1]Summ!$J1080)</f>
        <v>204000</v>
      </c>
      <c r="D45" s="38">
        <f t="shared" si="17"/>
        <v>408000</v>
      </c>
      <c r="E45" s="75">
        <f>Middle!E45</f>
        <v>1</v>
      </c>
      <c r="F45" s="75">
        <f>Middle!F45</f>
        <v>1.07</v>
      </c>
      <c r="G45" s="22">
        <f t="shared" si="25"/>
        <v>1.1200000000000001</v>
      </c>
      <c r="H45" s="24">
        <f t="shared" si="18"/>
        <v>1.07</v>
      </c>
      <c r="I45" s="39">
        <f t="shared" si="19"/>
        <v>436560</v>
      </c>
      <c r="J45" s="38">
        <f t="shared" si="20"/>
        <v>217165.49698615167</v>
      </c>
      <c r="K45" s="40">
        <f t="shared" si="21"/>
        <v>0.67947018527325531</v>
      </c>
      <c r="L45" s="22">
        <f t="shared" si="22"/>
        <v>0.72703309824238327</v>
      </c>
      <c r="M45" s="24">
        <f t="shared" si="23"/>
        <v>0.72332098270656386</v>
      </c>
      <c r="N45" s="2"/>
      <c r="O45" s="2"/>
      <c r="P45" s="2"/>
      <c r="Q45" s="2"/>
      <c r="R45" s="2"/>
      <c r="S45" s="2"/>
      <c r="T45" s="2"/>
      <c r="U45" s="56"/>
      <c r="V45" s="56"/>
      <c r="W45" s="109"/>
      <c r="X45" s="117"/>
      <c r="Y45" s="109"/>
      <c r="Z45" s="155">
        <f>Poor!Z45</f>
        <v>0.25</v>
      </c>
      <c r="AA45" s="146">
        <f t="shared" si="30"/>
        <v>54291.374246537918</v>
      </c>
      <c r="AB45" s="155">
        <f>Poor!AB45</f>
        <v>0.25</v>
      </c>
      <c r="AC45" s="146">
        <f t="shared" si="31"/>
        <v>54291.374246537918</v>
      </c>
      <c r="AD45" s="155">
        <f>Poor!AD45</f>
        <v>0.25</v>
      </c>
      <c r="AE45" s="146">
        <f t="shared" si="32"/>
        <v>54291.374246537918</v>
      </c>
      <c r="AF45" s="121">
        <f t="shared" si="24"/>
        <v>0.25</v>
      </c>
      <c r="AG45" s="146">
        <f t="shared" si="26"/>
        <v>54291.374246537918</v>
      </c>
      <c r="AH45" s="122">
        <f t="shared" si="27"/>
        <v>1</v>
      </c>
      <c r="AI45" s="111">
        <f t="shared" si="27"/>
        <v>217165.49698615167</v>
      </c>
      <c r="AJ45" s="147">
        <f t="shared" si="28"/>
        <v>108582.74849307584</v>
      </c>
      <c r="AK45" s="146">
        <f t="shared" si="29"/>
        <v>108582.74849307584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5" ht="14" customHeight="1">
      <c r="A46" s="85" t="str">
        <f>IF(Poor!A46=0,"",Poor!A46)</f>
        <v>Self-employment -- see Data2</v>
      </c>
      <c r="B46" s="103">
        <f>IF([1]Summ!$J1081="",0,[1]Summ!$J1081)</f>
        <v>6000</v>
      </c>
      <c r="C46" s="103">
        <f>IF([1]Summ!$J1081="",0,[1]Summ!$J1081)</f>
        <v>6000</v>
      </c>
      <c r="D46" s="38">
        <f t="shared" si="17"/>
        <v>12000</v>
      </c>
      <c r="E46" s="75">
        <f>Middle!E46</f>
        <v>1</v>
      </c>
      <c r="F46" s="75">
        <f>Middle!F46</f>
        <v>1.1000000000000001</v>
      </c>
      <c r="G46" s="22">
        <f t="shared" si="25"/>
        <v>1.1200000000000001</v>
      </c>
      <c r="H46" s="24">
        <f t="shared" si="18"/>
        <v>1.1000000000000001</v>
      </c>
      <c r="I46" s="39">
        <f t="shared" si="19"/>
        <v>13200.000000000002</v>
      </c>
      <c r="J46" s="38">
        <f t="shared" si="20"/>
        <v>6566.3014481794089</v>
      </c>
      <c r="K46" s="40">
        <f t="shared" si="21"/>
        <v>1.9984417213919272E-2</v>
      </c>
      <c r="L46" s="22">
        <f t="shared" si="22"/>
        <v>2.1982858935311201E-2</v>
      </c>
      <c r="M46" s="24">
        <f t="shared" si="23"/>
        <v>2.1870617948796606E-2</v>
      </c>
      <c r="N46" s="2"/>
      <c r="O46" s="2"/>
      <c r="P46" s="2"/>
      <c r="Q46" s="2"/>
      <c r="R46" s="2"/>
      <c r="S46" s="2"/>
      <c r="T46" s="2"/>
      <c r="U46" s="56"/>
      <c r="V46" s="56"/>
      <c r="W46" s="109"/>
      <c r="X46" s="117"/>
      <c r="Y46" s="109"/>
      <c r="Z46" s="155">
        <f>Poor!Z46</f>
        <v>0.25</v>
      </c>
      <c r="AA46" s="146">
        <f t="shared" si="30"/>
        <v>1641.5753620448522</v>
      </c>
      <c r="AB46" s="155">
        <f>Poor!AB46</f>
        <v>0.25</v>
      </c>
      <c r="AC46" s="146">
        <f t="shared" si="31"/>
        <v>1641.5753620448522</v>
      </c>
      <c r="AD46" s="155">
        <f>Poor!AD46</f>
        <v>0.25</v>
      </c>
      <c r="AE46" s="146">
        <f t="shared" si="32"/>
        <v>1641.5753620448522</v>
      </c>
      <c r="AF46" s="121">
        <f t="shared" si="24"/>
        <v>0.25</v>
      </c>
      <c r="AG46" s="146">
        <f t="shared" si="26"/>
        <v>1641.5753620448522</v>
      </c>
      <c r="AH46" s="122">
        <f t="shared" ref="AH46:AI51" si="33">SUM(Z46,AB46,AD46,AF46)</f>
        <v>1</v>
      </c>
      <c r="AI46" s="111">
        <f t="shared" si="33"/>
        <v>6566.3014481794089</v>
      </c>
      <c r="AJ46" s="147">
        <f t="shared" si="28"/>
        <v>3283.1507240897045</v>
      </c>
      <c r="AK46" s="146">
        <f t="shared" si="29"/>
        <v>3283.1507240897045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5" ht="14" customHeight="1">
      <c r="A47" s="85" t="str">
        <f>IF(Poor!A47=0,"",Poor!A47)</f>
        <v>Small business -- see Data2</v>
      </c>
      <c r="B47" s="103">
        <f>IF([1]Summ!$J1082="",0,[1]Summ!$J1082)</f>
        <v>14400</v>
      </c>
      <c r="C47" s="103">
        <f>IF([1]Summ!$J1082="",0,[1]Summ!$J1082)</f>
        <v>14400</v>
      </c>
      <c r="D47" s="38">
        <f t="shared" si="17"/>
        <v>28800</v>
      </c>
      <c r="E47" s="75">
        <f>Middle!E47</f>
        <v>1</v>
      </c>
      <c r="F47" s="75">
        <f>Middle!F47</f>
        <v>1.05</v>
      </c>
      <c r="G47" s="22">
        <f t="shared" si="25"/>
        <v>1.1200000000000001</v>
      </c>
      <c r="H47" s="24">
        <f t="shared" si="18"/>
        <v>1.05</v>
      </c>
      <c r="I47" s="39">
        <f t="shared" si="19"/>
        <v>30240</v>
      </c>
      <c r="J47" s="38">
        <f t="shared" si="20"/>
        <v>15042.799681283734</v>
      </c>
      <c r="K47" s="40">
        <f t="shared" si="21"/>
        <v>4.7962601313406253E-2</v>
      </c>
      <c r="L47" s="22">
        <f t="shared" si="22"/>
        <v>5.0360731379076568E-2</v>
      </c>
      <c r="M47" s="24">
        <f t="shared" si="23"/>
        <v>5.0103597482697666E-2</v>
      </c>
      <c r="N47" s="2"/>
      <c r="O47" s="2"/>
      <c r="P47" s="2"/>
      <c r="Q47" s="2"/>
      <c r="R47" s="2"/>
      <c r="S47" s="2"/>
      <c r="T47" s="2"/>
      <c r="U47" s="56"/>
      <c r="V47" s="56"/>
      <c r="W47" s="109"/>
      <c r="X47" s="117"/>
      <c r="Y47" s="109"/>
      <c r="Z47" s="155">
        <f>Poor!Z47</f>
        <v>0.25</v>
      </c>
      <c r="AA47" s="146">
        <f t="shared" si="30"/>
        <v>3760.6999203209334</v>
      </c>
      <c r="AB47" s="155">
        <f>Poor!AB47</f>
        <v>0.25</v>
      </c>
      <c r="AC47" s="146">
        <f t="shared" si="31"/>
        <v>3760.6999203209334</v>
      </c>
      <c r="AD47" s="155">
        <f>Poor!AD47</f>
        <v>0.25</v>
      </c>
      <c r="AE47" s="146">
        <f t="shared" si="32"/>
        <v>3760.6999203209334</v>
      </c>
      <c r="AF47" s="121">
        <f t="shared" si="24"/>
        <v>0.25</v>
      </c>
      <c r="AG47" s="146">
        <f t="shared" si="26"/>
        <v>3760.6999203209334</v>
      </c>
      <c r="AH47" s="122">
        <f t="shared" si="33"/>
        <v>1</v>
      </c>
      <c r="AI47" s="111">
        <f t="shared" si="33"/>
        <v>15042.799681283734</v>
      </c>
      <c r="AJ47" s="147">
        <f t="shared" si="28"/>
        <v>7521.3998406418668</v>
      </c>
      <c r="AK47" s="146">
        <f t="shared" si="29"/>
        <v>7521.3998406418668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5" ht="14" customHeight="1">
      <c r="A48" s="85" t="str">
        <f>IF(Poor!A48=0,"",Poor!A48)</f>
        <v>Social Cash Transfers -- see Data2</v>
      </c>
      <c r="B48" s="103">
        <f>IF([1]Summ!$J1083="",0,[1]Summ!$J1083)</f>
        <v>8078.9240506329124</v>
      </c>
      <c r="C48" s="103">
        <f>IF([1]Summ!$J1083="",0,[1]Summ!$J1083)</f>
        <v>8078.9240506329124</v>
      </c>
      <c r="D48" s="38">
        <f t="shared" si="17"/>
        <v>16157.848101265825</v>
      </c>
      <c r="E48" s="75">
        <f>Middle!E48</f>
        <v>1</v>
      </c>
      <c r="F48" s="75">
        <f>Middle!F48</f>
        <v>1.1100000000000001</v>
      </c>
      <c r="G48" s="22">
        <f t="shared" si="25"/>
        <v>1.1200000000000001</v>
      </c>
      <c r="H48" s="24">
        <f t="shared" si="18"/>
        <v>1.1100000000000001</v>
      </c>
      <c r="I48" s="39">
        <f t="shared" si="19"/>
        <v>17935.211392405068</v>
      </c>
      <c r="J48" s="38">
        <f t="shared" si="20"/>
        <v>8921.818525708577</v>
      </c>
      <c r="K48" s="40">
        <f t="shared" si="21"/>
        <v>2.6908764811235799E-2</v>
      </c>
      <c r="L48" s="22">
        <f t="shared" si="22"/>
        <v>2.9868728940471739E-2</v>
      </c>
      <c r="M48" s="24">
        <f t="shared" si="23"/>
        <v>2.9716223954105725E-2</v>
      </c>
      <c r="N48" s="2"/>
      <c r="O48" s="2"/>
      <c r="P48" s="2"/>
      <c r="Q48" s="2"/>
      <c r="R48" s="2"/>
      <c r="S48" s="2"/>
      <c r="T48" s="2"/>
      <c r="U48" s="56"/>
      <c r="V48" s="56"/>
      <c r="W48" s="109"/>
      <c r="X48" s="117"/>
      <c r="Y48" s="109"/>
      <c r="Z48" s="155">
        <f>Poor!Z48</f>
        <v>0.25</v>
      </c>
      <c r="AA48" s="146">
        <f t="shared" si="30"/>
        <v>2230.4546314271442</v>
      </c>
      <c r="AB48" s="155">
        <f>Poor!AB48</f>
        <v>0.25</v>
      </c>
      <c r="AC48" s="146">
        <f t="shared" si="31"/>
        <v>2230.4546314271442</v>
      </c>
      <c r="AD48" s="155">
        <f>Poor!AD48</f>
        <v>0.25</v>
      </c>
      <c r="AE48" s="146">
        <f t="shared" si="32"/>
        <v>2230.4546314271442</v>
      </c>
      <c r="AF48" s="121">
        <f t="shared" si="24"/>
        <v>0.25</v>
      </c>
      <c r="AG48" s="146">
        <f t="shared" si="26"/>
        <v>2230.4546314271442</v>
      </c>
      <c r="AH48" s="122">
        <f t="shared" si="33"/>
        <v>1</v>
      </c>
      <c r="AI48" s="111">
        <f t="shared" si="33"/>
        <v>8921.818525708577</v>
      </c>
      <c r="AJ48" s="147">
        <f t="shared" si="28"/>
        <v>4460.9092628542885</v>
      </c>
      <c r="AK48" s="146">
        <f t="shared" si="29"/>
        <v>4460.9092628542885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Public works -- see Data2</v>
      </c>
      <c r="B49" s="103">
        <f>IF([1]Summ!$J1084="",0,[1]Summ!$J1084)</f>
        <v>0</v>
      </c>
      <c r="C49" s="103">
        <f>IF([1]Summ!$J1084="",0,[1]Summ!$J1084)</f>
        <v>0</v>
      </c>
      <c r="D49" s="38">
        <f t="shared" si="17"/>
        <v>0</v>
      </c>
      <c r="E49" s="75">
        <f>Middle!E49</f>
        <v>1</v>
      </c>
      <c r="F49" s="75">
        <f>Middle!F49</f>
        <v>1.07</v>
      </c>
      <c r="G49" s="22">
        <f t="shared" si="25"/>
        <v>1.1200000000000001</v>
      </c>
      <c r="H49" s="24">
        <f t="shared" si="18"/>
        <v>1.07</v>
      </c>
      <c r="I49" s="39">
        <f t="shared" si="19"/>
        <v>0</v>
      </c>
      <c r="J49" s="38">
        <f t="shared" si="20"/>
        <v>0</v>
      </c>
      <c r="K49" s="40">
        <f t="shared" si="21"/>
        <v>0</v>
      </c>
      <c r="L49" s="22">
        <f t="shared" si="22"/>
        <v>0</v>
      </c>
      <c r="M49" s="24">
        <f t="shared" si="23"/>
        <v>0</v>
      </c>
      <c r="N49" s="2"/>
      <c r="O49" s="2"/>
      <c r="P49" s="2"/>
      <c r="Q49" s="2"/>
      <c r="R49" s="2"/>
      <c r="S49" s="2"/>
      <c r="T49" s="2"/>
      <c r="U49" s="56"/>
      <c r="V49" s="56"/>
      <c r="W49" s="109"/>
      <c r="X49" s="117"/>
      <c r="Y49" s="109"/>
      <c r="Z49" s="155">
        <f>Poor!Z49</f>
        <v>0.25</v>
      </c>
      <c r="AA49" s="146">
        <f t="shared" si="30"/>
        <v>0</v>
      </c>
      <c r="AB49" s="155">
        <f>Poor!AB49</f>
        <v>0.25</v>
      </c>
      <c r="AC49" s="146">
        <f t="shared" si="31"/>
        <v>0</v>
      </c>
      <c r="AD49" s="155">
        <f>Poor!AD49</f>
        <v>0.25</v>
      </c>
      <c r="AE49" s="146">
        <f t="shared" si="32"/>
        <v>0</v>
      </c>
      <c r="AF49" s="121">
        <f t="shared" si="24"/>
        <v>0.25</v>
      </c>
      <c r="AG49" s="146">
        <f t="shared" si="26"/>
        <v>0</v>
      </c>
      <c r="AH49" s="122">
        <f t="shared" si="33"/>
        <v>1</v>
      </c>
      <c r="AI49" s="111">
        <f t="shared" si="33"/>
        <v>0</v>
      </c>
      <c r="AJ49" s="147">
        <f t="shared" si="28"/>
        <v>0</v>
      </c>
      <c r="AK49" s="146">
        <f t="shared" si="2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Other income: e.g. Credit (cotton loans)</v>
      </c>
      <c r="B50" s="103">
        <f>IF([1]Summ!$J1085="",0,[1]Summ!$J1085)</f>
        <v>0</v>
      </c>
      <c r="C50" s="103">
        <f>IF([1]Summ!$J1085="",0,[1]Summ!$J1085)</f>
        <v>0</v>
      </c>
      <c r="D50" s="38">
        <f t="shared" si="17"/>
        <v>0</v>
      </c>
      <c r="E50" s="75">
        <f>Middle!E50</f>
        <v>1</v>
      </c>
      <c r="F50" s="75">
        <f>Middle!F50</f>
        <v>1</v>
      </c>
      <c r="G50" s="22">
        <f t="shared" si="25"/>
        <v>1.1200000000000001</v>
      </c>
      <c r="H50" s="24">
        <f t="shared" si="18"/>
        <v>1</v>
      </c>
      <c r="I50" s="39">
        <f t="shared" si="19"/>
        <v>0</v>
      </c>
      <c r="J50" s="38">
        <f t="shared" si="20"/>
        <v>0</v>
      </c>
      <c r="K50" s="40">
        <f t="shared" si="21"/>
        <v>0</v>
      </c>
      <c r="L50" s="22">
        <f t="shared" si="22"/>
        <v>0</v>
      </c>
      <c r="M50" s="24">
        <f t="shared" si="23"/>
        <v>0</v>
      </c>
      <c r="N50" s="2"/>
      <c r="O50" s="2"/>
      <c r="P50" s="2"/>
      <c r="Q50" s="2"/>
      <c r="R50" s="2"/>
      <c r="S50" s="2"/>
      <c r="T50" s="2"/>
      <c r="U50" s="56"/>
      <c r="V50" s="56"/>
      <c r="W50" s="109"/>
      <c r="X50" s="117"/>
      <c r="Y50" s="109"/>
      <c r="Z50" s="155">
        <f>Poor!Z50</f>
        <v>0.25</v>
      </c>
      <c r="AA50" s="146">
        <f t="shared" si="30"/>
        <v>0</v>
      </c>
      <c r="AB50" s="155">
        <f>Poor!AB50</f>
        <v>0.25</v>
      </c>
      <c r="AC50" s="146">
        <f t="shared" si="31"/>
        <v>0</v>
      </c>
      <c r="AD50" s="155">
        <f>Poor!AD50</f>
        <v>0.25</v>
      </c>
      <c r="AE50" s="146">
        <f t="shared" si="32"/>
        <v>0</v>
      </c>
      <c r="AF50" s="121">
        <f t="shared" si="24"/>
        <v>0.25</v>
      </c>
      <c r="AG50" s="146">
        <f t="shared" si="26"/>
        <v>0</v>
      </c>
      <c r="AH50" s="122">
        <f t="shared" si="33"/>
        <v>1</v>
      </c>
      <c r="AI50" s="111">
        <f t="shared" si="33"/>
        <v>0</v>
      </c>
      <c r="AJ50" s="147">
        <f t="shared" si="28"/>
        <v>0</v>
      </c>
      <c r="AK50" s="146">
        <f t="shared" si="2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Remittances: no. times per year</v>
      </c>
      <c r="B51" s="103">
        <f>IF([1]Summ!$J1086="",0,[1]Summ!$J1086)</f>
        <v>36000</v>
      </c>
      <c r="C51" s="103">
        <f>IF([1]Summ!$J1086="",0,[1]Summ!$J1086)</f>
        <v>36000</v>
      </c>
      <c r="D51" s="38">
        <f t="shared" si="17"/>
        <v>72000</v>
      </c>
      <c r="E51" s="75">
        <f>Middle!E51</f>
        <v>1</v>
      </c>
      <c r="F51" s="75">
        <f>Middle!F51</f>
        <v>1.05</v>
      </c>
      <c r="G51" s="22">
        <f t="shared" si="25"/>
        <v>1.1200000000000001</v>
      </c>
      <c r="H51" s="24">
        <f t="shared" si="18"/>
        <v>1.05</v>
      </c>
      <c r="I51" s="39">
        <f t="shared" si="19"/>
        <v>75600</v>
      </c>
      <c r="J51" s="38">
        <f t="shared" si="20"/>
        <v>37606.999203209343</v>
      </c>
      <c r="K51" s="40">
        <f t="shared" si="21"/>
        <v>0.11990650328351564</v>
      </c>
      <c r="L51" s="22">
        <f t="shared" si="22"/>
        <v>0.12590182844769143</v>
      </c>
      <c r="M51" s="24">
        <f t="shared" si="23"/>
        <v>0.1252589937067442</v>
      </c>
      <c r="N51" s="2"/>
      <c r="O51" s="2"/>
      <c r="P51" s="2"/>
      <c r="Q51" s="2"/>
      <c r="R51" s="2"/>
      <c r="S51" s="2"/>
      <c r="T51" s="2"/>
      <c r="U51" s="56"/>
      <c r="V51" s="56"/>
      <c r="W51" s="109"/>
      <c r="X51" s="117"/>
      <c r="Y51" s="109"/>
      <c r="Z51" s="155">
        <f>Poor!Z51</f>
        <v>0.25</v>
      </c>
      <c r="AA51" s="148">
        <f t="shared" si="30"/>
        <v>9401.7498008023358</v>
      </c>
      <c r="AB51" s="155">
        <f>Poor!AB51</f>
        <v>0.25</v>
      </c>
      <c r="AC51" s="148">
        <f t="shared" si="31"/>
        <v>9401.7498008023358</v>
      </c>
      <c r="AD51" s="155">
        <f>Poor!AD51</f>
        <v>0.25</v>
      </c>
      <c r="AE51" s="148">
        <f t="shared" si="32"/>
        <v>9401.7498008023358</v>
      </c>
      <c r="AF51" s="149">
        <f t="shared" si="24"/>
        <v>0.25</v>
      </c>
      <c r="AG51" s="148">
        <f t="shared" si="26"/>
        <v>9401.7498008023358</v>
      </c>
      <c r="AH51" s="122">
        <f t="shared" si="33"/>
        <v>1</v>
      </c>
      <c r="AI51" s="111">
        <f t="shared" si="33"/>
        <v>37606.999203209343</v>
      </c>
      <c r="AJ51" s="150">
        <f t="shared" si="28"/>
        <v>18803.499601604672</v>
      </c>
      <c r="AK51" s="148">
        <f t="shared" si="29"/>
        <v>18803.499601604672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39" t="s">
        <v>33</v>
      </c>
      <c r="B52" s="39">
        <f>SUM(B29:B51)</f>
        <v>300233.92405063292</v>
      </c>
      <c r="C52" s="39">
        <f>SUM(C29:C51)</f>
        <v>300233.92405063292</v>
      </c>
      <c r="D52" s="42">
        <f>SUM(D29:D51)</f>
        <v>600467.84810126584</v>
      </c>
      <c r="E52" s="32"/>
      <c r="F52" s="32"/>
      <c r="G52" s="32"/>
      <c r="H52" s="31"/>
      <c r="I52" s="39">
        <f>SUM(I29:I51)</f>
        <v>639757.11139240512</v>
      </c>
      <c r="J52" s="39">
        <f>SUM(J29:J51)</f>
        <v>318245.3065923503</v>
      </c>
      <c r="K52" s="40">
        <f>SUM(K29:K51)</f>
        <v>1</v>
      </c>
      <c r="L52" s="22">
        <f>SUM(L29:L51)</f>
        <v>1.0654310858031377</v>
      </c>
      <c r="M52" s="24">
        <f>SUM(M29:M51)</f>
        <v>1.0599911638855302</v>
      </c>
      <c r="N52" s="2"/>
      <c r="O52" s="2"/>
      <c r="P52" s="2"/>
      <c r="Q52" s="2"/>
      <c r="R52" s="2"/>
      <c r="S52" s="2"/>
      <c r="T52" s="2"/>
      <c r="U52" s="56"/>
      <c r="V52" s="56"/>
      <c r="W52" s="109"/>
      <c r="X52" s="151"/>
      <c r="Y52" s="109"/>
      <c r="Z52" s="136"/>
      <c r="AA52" s="152">
        <f>SUM(AA29:AA51)</f>
        <v>76612.327939869065</v>
      </c>
      <c r="AB52" s="136"/>
      <c r="AC52" s="152">
        <f>SUM(AC29:AC51)</f>
        <v>76479.896396762313</v>
      </c>
      <c r="AD52" s="136"/>
      <c r="AE52" s="152">
        <f>SUM(AE29:AE51)</f>
        <v>76684.082682273583</v>
      </c>
      <c r="AF52" s="136"/>
      <c r="AG52" s="152">
        <f>SUM(AG29:AG51)</f>
        <v>88468.99957344537</v>
      </c>
      <c r="AH52" s="136"/>
      <c r="AI52" s="152">
        <f>SUM(AI29:AI51)</f>
        <v>318245.3065923503</v>
      </c>
      <c r="AJ52" s="152">
        <f>SUM(AJ29:AJ51)</f>
        <v>153092.22433663136</v>
      </c>
      <c r="AK52" s="152">
        <f>SUM(AK29:AK51)</f>
        <v>165153.08225571894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3.5" customHeight="1">
      <c r="A53" s="78"/>
      <c r="B53" s="78"/>
      <c r="C53" s="78"/>
      <c r="D53" s="44"/>
      <c r="E53" s="14"/>
      <c r="F53" s="14"/>
      <c r="G53" s="14"/>
      <c r="H53" s="44"/>
      <c r="I53" s="14"/>
      <c r="J53" s="44"/>
      <c r="K53" s="45"/>
      <c r="L53" s="11"/>
      <c r="M53" s="10"/>
      <c r="N53" s="2"/>
      <c r="O53" s="2"/>
      <c r="P53" s="2"/>
      <c r="Q53" s="2"/>
      <c r="R53" s="2"/>
      <c r="S53" s="2"/>
      <c r="T53" s="2"/>
      <c r="U53" s="56"/>
      <c r="V53" s="56"/>
      <c r="W53" s="109"/>
      <c r="X53" s="117"/>
      <c r="Y53" s="109"/>
      <c r="Z53" s="142"/>
      <c r="AA53" s="153"/>
      <c r="AB53" s="142"/>
      <c r="AC53" s="153"/>
      <c r="AD53" s="142"/>
      <c r="AE53" s="153"/>
      <c r="AF53" s="142"/>
      <c r="AG53" s="153"/>
      <c r="AH53" s="142"/>
      <c r="AI53" s="153"/>
      <c r="AJ53" s="142"/>
      <c r="AK53" s="143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5.75" customHeight="1">
      <c r="A54" s="73" t="s">
        <v>53</v>
      </c>
      <c r="B54" s="39"/>
      <c r="C54" s="39"/>
      <c r="D54" s="38"/>
      <c r="E54" s="32"/>
      <c r="F54" s="32"/>
      <c r="G54" s="32"/>
      <c r="H54" s="31"/>
      <c r="I54" s="47"/>
      <c r="J54" s="48"/>
      <c r="K54" s="34" t="s">
        <v>35</v>
      </c>
      <c r="L54" s="2"/>
      <c r="M54" s="31"/>
      <c r="N54" s="2"/>
      <c r="O54" s="2"/>
      <c r="P54" s="2"/>
      <c r="Q54" s="2"/>
      <c r="R54" s="2"/>
      <c r="S54" s="2"/>
      <c r="T54" s="2"/>
      <c r="U54" s="56"/>
      <c r="V54" s="56"/>
      <c r="W54" s="109"/>
      <c r="X54" s="117"/>
      <c r="Y54" s="109"/>
      <c r="Z54" s="144"/>
      <c r="AA54" s="146"/>
      <c r="AB54" s="144"/>
      <c r="AC54" s="146"/>
      <c r="AD54" s="144"/>
      <c r="AE54" s="146"/>
      <c r="AF54" s="144"/>
      <c r="AG54" s="146"/>
      <c r="AH54" s="144"/>
      <c r="AI54" s="146"/>
      <c r="AJ54" s="144"/>
      <c r="AK54" s="145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9"/>
      <c r="B55" s="80" t="s">
        <v>7</v>
      </c>
      <c r="C55" s="39"/>
      <c r="D55" s="50"/>
      <c r="E55" s="19" t="s">
        <v>10</v>
      </c>
      <c r="F55" s="2" t="s">
        <v>29</v>
      </c>
      <c r="G55" s="2"/>
      <c r="H55" s="16" t="s">
        <v>12</v>
      </c>
      <c r="I55" s="19" t="s">
        <v>13</v>
      </c>
      <c r="J55" s="16" t="s">
        <v>14</v>
      </c>
      <c r="K55" s="37" t="s">
        <v>7</v>
      </c>
      <c r="L55" s="19" t="s">
        <v>15</v>
      </c>
      <c r="M55" s="16" t="s">
        <v>14</v>
      </c>
      <c r="N55" s="2"/>
      <c r="O55" s="2"/>
      <c r="P55" s="2"/>
      <c r="Q55" s="2"/>
      <c r="R55" s="2"/>
      <c r="S55" s="2"/>
      <c r="T55" s="2"/>
      <c r="U55" s="56"/>
      <c r="V55" s="56"/>
      <c r="W55" s="111"/>
      <c r="X55" s="117"/>
      <c r="Y55" s="109"/>
      <c r="Z55" s="144"/>
      <c r="AA55" s="146"/>
      <c r="AB55" s="144"/>
      <c r="AC55" s="146"/>
      <c r="AD55" s="144"/>
      <c r="AE55" s="146"/>
      <c r="AF55" s="144"/>
      <c r="AG55" s="146"/>
      <c r="AH55" s="144"/>
      <c r="AI55" s="146"/>
      <c r="AJ55" s="144"/>
      <c r="AK55" s="145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39" t="s">
        <v>31</v>
      </c>
      <c r="B56" s="80" t="s">
        <v>36</v>
      </c>
      <c r="C56" s="39"/>
      <c r="D56" s="38"/>
      <c r="E56" s="19" t="s">
        <v>18</v>
      </c>
      <c r="F56" s="2" t="s">
        <v>32</v>
      </c>
      <c r="G56" s="2"/>
      <c r="H56" s="16" t="s">
        <v>18</v>
      </c>
      <c r="I56" s="19" t="s">
        <v>36</v>
      </c>
      <c r="J56" s="16" t="s">
        <v>36</v>
      </c>
      <c r="K56" s="37" t="s">
        <v>36</v>
      </c>
      <c r="L56" s="19" t="s">
        <v>20</v>
      </c>
      <c r="M56" s="16" t="s">
        <v>36</v>
      </c>
      <c r="N56" s="2"/>
      <c r="O56" s="2"/>
      <c r="P56" s="2"/>
      <c r="Q56" s="2"/>
      <c r="R56" s="2"/>
      <c r="S56" s="2"/>
      <c r="T56" s="2"/>
      <c r="U56" s="56"/>
      <c r="V56" s="56"/>
      <c r="W56" s="109"/>
      <c r="X56" s="117"/>
      <c r="Y56" s="109"/>
      <c r="Z56" s="144"/>
      <c r="AA56" s="146"/>
      <c r="AB56" s="144"/>
      <c r="AC56" s="146"/>
      <c r="AD56" s="144"/>
      <c r="AE56" s="146"/>
      <c r="AF56" s="144"/>
      <c r="AG56" s="146"/>
      <c r="AH56" s="144"/>
      <c r="AI56" s="146"/>
      <c r="AJ56" s="144"/>
      <c r="AK56" s="145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109" t="s">
        <v>135</v>
      </c>
      <c r="B57" s="103">
        <f>[1]Summ!$J1031</f>
        <v>11231.037498660109</v>
      </c>
      <c r="C57" s="39"/>
      <c r="D57" s="38"/>
      <c r="E57" s="75">
        <f>Middle!E57</f>
        <v>1</v>
      </c>
      <c r="F57" s="75">
        <f>Middle!F57</f>
        <v>1.1399999999999999</v>
      </c>
      <c r="G57" s="22"/>
      <c r="H57" s="24">
        <f>(E57*F57)</f>
        <v>1.1399999999999999</v>
      </c>
      <c r="I57" s="39">
        <f>I106*I$70</f>
        <v>12803.382748472523</v>
      </c>
      <c r="J57" s="51">
        <f t="shared" ref="J57:J58" si="34">J106*I$70</f>
        <v>12803.382748472523</v>
      </c>
      <c r="K57" s="40">
        <f>B57/B$63</f>
        <v>3.7407623186399321E-2</v>
      </c>
      <c r="L57" s="22">
        <f>(L106*G$29*F$9/F$7)/B$112</f>
        <v>4.2644690432495219E-2</v>
      </c>
      <c r="M57" s="24">
        <f>J57/B$63</f>
        <v>4.2644690432495219E-2</v>
      </c>
      <c r="N57" s="2"/>
      <c r="O57" s="2"/>
      <c r="P57" s="2"/>
      <c r="Q57" s="2"/>
      <c r="R57" s="2"/>
      <c r="S57" s="2"/>
      <c r="T57" s="2"/>
      <c r="U57" s="56"/>
      <c r="V57" s="56"/>
      <c r="W57" s="109"/>
      <c r="X57" s="117"/>
      <c r="Y57" s="109"/>
      <c r="Z57" s="155">
        <f>Poor!Z57</f>
        <v>0.25</v>
      </c>
      <c r="AA57" s="146">
        <f>$J57*Z57</f>
        <v>3200.8456871181306</v>
      </c>
      <c r="AB57" s="155">
        <f>Poor!AB57</f>
        <v>0.25</v>
      </c>
      <c r="AC57" s="146">
        <f>$J57*AB57</f>
        <v>3200.8456871181306</v>
      </c>
      <c r="AD57" s="155">
        <f>Poor!AD57</f>
        <v>0.25</v>
      </c>
      <c r="AE57" s="146">
        <f>$J57*AD57</f>
        <v>3200.8456871181306</v>
      </c>
      <c r="AF57" s="155">
        <f>Poor!AF57</f>
        <v>0.25</v>
      </c>
      <c r="AG57" s="146">
        <f>$J57*AF57</f>
        <v>3200.8456871181306</v>
      </c>
      <c r="AH57" s="154">
        <f>SUM(Z57,AB57,AD57,AF57)</f>
        <v>1</v>
      </c>
      <c r="AI57" s="146">
        <f>SUM(AA57,AC57,AE57,AG57)</f>
        <v>12803.382748472523</v>
      </c>
      <c r="AJ57" s="147">
        <f>(AA57+AC57)</f>
        <v>6401.6913742362613</v>
      </c>
      <c r="AK57" s="146">
        <f>(AE57+AG57)</f>
        <v>6401.6913742362613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3.5" customHeight="1">
      <c r="A58" s="109" t="s">
        <v>137</v>
      </c>
      <c r="B58" s="103">
        <f>[1]Summ!$J1032</f>
        <v>9736.6666666666679</v>
      </c>
      <c r="C58" s="39"/>
      <c r="D58" s="38"/>
      <c r="E58" s="75">
        <f>Middle!E58</f>
        <v>1</v>
      </c>
      <c r="F58" s="75">
        <f>Middle!F58</f>
        <v>1.1100000000000001</v>
      </c>
      <c r="G58" s="22"/>
      <c r="H58" s="24">
        <f>(E58*F58)</f>
        <v>1.1100000000000001</v>
      </c>
      <c r="I58" s="39">
        <f>I107*I$70</f>
        <v>10807.700000000004</v>
      </c>
      <c r="J58" s="51">
        <f t="shared" si="34"/>
        <v>10807.700000000004</v>
      </c>
      <c r="K58" s="40">
        <f>B58/B$63</f>
        <v>3.2430268156587887E-2</v>
      </c>
      <c r="L58" s="22">
        <f>(L107*G$29*F$9/F$7)/B$112</f>
        <v>3.5997597653812566E-2</v>
      </c>
      <c r="M58" s="24">
        <f>J58/B$63</f>
        <v>3.5997597653812566E-2</v>
      </c>
      <c r="O58" s="2"/>
      <c r="P58" s="2"/>
      <c r="Q58" s="2"/>
      <c r="R58" s="2"/>
      <c r="S58" s="2"/>
      <c r="T58" s="2"/>
      <c r="U58" s="56"/>
      <c r="V58" s="56"/>
      <c r="W58" s="109"/>
      <c r="X58" s="117"/>
      <c r="Y58" s="109"/>
      <c r="Z58" s="155">
        <f>Poor!Z58</f>
        <v>0.25</v>
      </c>
      <c r="AA58" s="146">
        <f>$H$58*$B$58*Z58</f>
        <v>2701.9250000000006</v>
      </c>
      <c r="AB58" s="155">
        <f>Poor!AB58</f>
        <v>0.25</v>
      </c>
      <c r="AC58" s="146">
        <f>$H$58*$B$58*AB58</f>
        <v>2701.9250000000006</v>
      </c>
      <c r="AD58" s="155">
        <f>Poor!AD58</f>
        <v>0.25</v>
      </c>
      <c r="AE58" s="146">
        <f>$H$58*$B$58*AD58</f>
        <v>2701.9250000000006</v>
      </c>
      <c r="AF58" s="155">
        <f>Poor!AF58</f>
        <v>0.25</v>
      </c>
      <c r="AG58" s="146">
        <f>$H$58*$B$58*AF58</f>
        <v>2701.9250000000006</v>
      </c>
      <c r="AH58" s="154">
        <f>SUM(Z58,AB58,AD58,AF58)</f>
        <v>1</v>
      </c>
      <c r="AI58" s="146">
        <f>SUM(AA58,AC58,AE58,AG58)</f>
        <v>10807.700000000003</v>
      </c>
      <c r="AJ58" s="147">
        <f>(AA58+AC58)</f>
        <v>5403.8500000000013</v>
      </c>
      <c r="AK58" s="146">
        <f>(AE58+AG58)</f>
        <v>5403.8500000000013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3.5" customHeight="1">
      <c r="A59" s="109" t="s">
        <v>138</v>
      </c>
      <c r="B59" s="103">
        <f>[1]Summ!$J1033</f>
        <v>17340</v>
      </c>
      <c r="C59" s="39"/>
      <c r="D59" s="38"/>
      <c r="E59" s="75">
        <f>Middle!E59</f>
        <v>1</v>
      </c>
      <c r="F59" s="75">
        <f>Middle!F59</f>
        <v>1.1100000000000001</v>
      </c>
      <c r="G59" s="22"/>
      <c r="H59" s="24">
        <f t="shared" ref="H59:H60" si="35">(E59*F59)</f>
        <v>1.1100000000000001</v>
      </c>
      <c r="I59" s="39">
        <f t="shared" ref="I59:I60" si="36">I108*I$70</f>
        <v>0</v>
      </c>
      <c r="J59" s="51">
        <f t="shared" ref="J59:J60" si="37">J108*I$70</f>
        <v>19247.400000000005</v>
      </c>
      <c r="K59" s="40">
        <f t="shared" ref="K59:K60" si="38">B59/B$63</f>
        <v>5.7754965748226694E-2</v>
      </c>
      <c r="L59" s="22">
        <f t="shared" ref="L59:L60" si="39">(L108*G$29*F$9/F$7)/B$112</f>
        <v>6.4108011980531648E-2</v>
      </c>
      <c r="M59" s="24">
        <f t="shared" ref="M59:M60" si="40">J59/B$63</f>
        <v>6.4108011980531648E-2</v>
      </c>
      <c r="O59" s="2"/>
      <c r="P59" s="2"/>
      <c r="Q59" s="2"/>
      <c r="R59" s="2"/>
      <c r="S59" s="2"/>
      <c r="T59" s="2"/>
      <c r="U59" s="56"/>
      <c r="V59" s="56"/>
      <c r="W59" s="109"/>
      <c r="X59" s="117"/>
      <c r="Y59" s="109"/>
      <c r="Z59" s="155"/>
      <c r="AA59" s="146"/>
      <c r="AB59" s="155"/>
      <c r="AC59" s="146"/>
      <c r="AD59" s="155"/>
      <c r="AE59" s="146"/>
      <c r="AF59" s="155"/>
      <c r="AG59" s="146"/>
      <c r="AH59" s="154"/>
      <c r="AI59" s="146"/>
      <c r="AJ59" s="147"/>
      <c r="AK59" s="146"/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3.5" customHeight="1">
      <c r="A60" s="109" t="s">
        <v>139</v>
      </c>
      <c r="B60" s="103">
        <f>[1]Summ!$J1034</f>
        <v>43065</v>
      </c>
      <c r="C60" s="39"/>
      <c r="D60" s="38"/>
      <c r="E60" s="75">
        <f>Middle!E60</f>
        <v>1</v>
      </c>
      <c r="F60" s="75">
        <f>Middle!F60</f>
        <v>1.1100000000000001</v>
      </c>
      <c r="G60" s="22"/>
      <c r="H60" s="24">
        <f t="shared" si="35"/>
        <v>1.1100000000000001</v>
      </c>
      <c r="I60" s="39">
        <f t="shared" si="36"/>
        <v>0</v>
      </c>
      <c r="J60" s="51">
        <f t="shared" si="37"/>
        <v>47802.150000000016</v>
      </c>
      <c r="K60" s="40">
        <f t="shared" si="38"/>
        <v>0.14343815455290557</v>
      </c>
      <c r="L60" s="22">
        <f t="shared" si="39"/>
        <v>0.15921635155372524</v>
      </c>
      <c r="M60" s="24">
        <f t="shared" si="40"/>
        <v>0.15921635155372524</v>
      </c>
      <c r="O60" s="2"/>
      <c r="P60" s="2"/>
      <c r="Q60" s="2"/>
      <c r="R60" s="2"/>
      <c r="S60" s="2"/>
      <c r="T60" s="2"/>
      <c r="U60" s="56"/>
      <c r="V60" s="56"/>
      <c r="W60" s="109"/>
      <c r="X60" s="117"/>
      <c r="Y60" s="109"/>
      <c r="Z60" s="155"/>
      <c r="AA60" s="146"/>
      <c r="AB60" s="155"/>
      <c r="AC60" s="146"/>
      <c r="AD60" s="155"/>
      <c r="AE60" s="146"/>
      <c r="AF60" s="155"/>
      <c r="AG60" s="146"/>
      <c r="AH60" s="154"/>
      <c r="AI60" s="146"/>
      <c r="AJ60" s="147"/>
      <c r="AK60" s="146"/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1" t="s">
        <v>37</v>
      </c>
      <c r="B61" s="81">
        <f>B110*B70</f>
        <v>3038.4323204419893</v>
      </c>
      <c r="C61" s="39"/>
      <c r="D61" s="38"/>
      <c r="E61" s="32"/>
      <c r="F61" s="32"/>
      <c r="G61" s="32"/>
      <c r="H61" s="31"/>
      <c r="I61" s="39">
        <f>I110*I$70</f>
        <v>626953.7286439325</v>
      </c>
      <c r="J61" s="51">
        <f>J110*I$70</f>
        <v>3423.6794530305256</v>
      </c>
      <c r="K61" s="40">
        <f>B61/B$63</f>
        <v>1.0120216527994929E-2</v>
      </c>
      <c r="L61" s="22">
        <f>(L110*G$29*F$9/F$7)/B$112</f>
        <v>1.0753066440544535E-2</v>
      </c>
      <c r="M61" s="24">
        <f>J61/B$63</f>
        <v>1.1403373099347492E-2</v>
      </c>
      <c r="O61" s="2"/>
      <c r="P61" s="2"/>
      <c r="Q61" s="2"/>
      <c r="R61" s="2"/>
      <c r="S61" s="2"/>
      <c r="T61" s="2"/>
      <c r="U61" s="56"/>
      <c r="V61" s="56"/>
      <c r="W61" s="109"/>
      <c r="X61" s="117"/>
      <c r="Y61" s="109"/>
      <c r="Z61" s="155"/>
      <c r="AA61" s="146">
        <f>AA22*$I$70/4</f>
        <v>0</v>
      </c>
      <c r="AB61" s="155"/>
      <c r="AC61" s="146">
        <f>AC22*$I$70/4</f>
        <v>0</v>
      </c>
      <c r="AD61" s="155"/>
      <c r="AE61" s="146">
        <f>AE22*$I$70/4</f>
        <v>36.423657955114138</v>
      </c>
      <c r="AF61" s="155"/>
      <c r="AG61" s="146">
        <f>AG22*$I$70/4</f>
        <v>62.551784166617658</v>
      </c>
      <c r="AH61" s="154"/>
      <c r="AI61" s="146">
        <f>SUM(AA61,AC61,AE61,AG61)</f>
        <v>98.975442121731788</v>
      </c>
      <c r="AJ61" s="147">
        <f>(AA61+AC61)</f>
        <v>0</v>
      </c>
      <c r="AK61" s="146">
        <f>(AE61+AG61)</f>
        <v>98.975442121731788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1" t="s">
        <v>57</v>
      </c>
      <c r="B62" s="52">
        <f>B63-B57-B58-B59-B60-B61</f>
        <v>215822.78756486415</v>
      </c>
      <c r="C62" s="39"/>
      <c r="D62" s="38"/>
      <c r="E62" s="32"/>
      <c r="F62" s="32"/>
      <c r="G62" s="32"/>
      <c r="H62" s="31"/>
      <c r="I62" s="47"/>
      <c r="J62" s="51">
        <f>J111*I$70</f>
        <v>224160.99439084731</v>
      </c>
      <c r="K62" s="40">
        <f>B62/B$63</f>
        <v>0.71884877182788554</v>
      </c>
      <c r="L62" s="22">
        <f>(L111*G$29*F$9/F$7)/B$112</f>
        <v>0.75271136774202851</v>
      </c>
      <c r="M62" s="24">
        <f>J62/B$63</f>
        <v>0.74662113916561834</v>
      </c>
      <c r="O62" s="2"/>
      <c r="P62" s="2"/>
      <c r="Q62" s="2"/>
      <c r="R62" s="2"/>
      <c r="S62" s="2"/>
      <c r="T62" s="2"/>
      <c r="U62" s="56"/>
      <c r="V62" s="56"/>
      <c r="W62" s="109"/>
      <c r="X62" s="156"/>
      <c r="Y62" s="160" t="s">
        <v>106</v>
      </c>
      <c r="Z62" s="157"/>
      <c r="AA62" s="148">
        <f>AA66-AA61</f>
        <v>73411.482252750939</v>
      </c>
      <c r="AB62" s="157"/>
      <c r="AC62" s="148">
        <f>AA62+AC52-SUM(AC57,AC61)</f>
        <v>146690.53296239511</v>
      </c>
      <c r="AD62" s="157"/>
      <c r="AE62" s="148">
        <f>AC62+AE52-SUM(AE57,AE61)</f>
        <v>220137.34629959546</v>
      </c>
      <c r="AF62" s="157"/>
      <c r="AG62" s="148">
        <f>IF(SUM(AG6:AG21)+((AG52-AG57-$J$62)*4/I$70)&lt;1,0,AG52-AG57-$J$62-(1-SUM(AG6:AG21))*I$70/4)</f>
        <v>0</v>
      </c>
      <c r="AH62" s="133"/>
      <c r="AI62" s="148">
        <f>AI63-SUM(AI57,AI61)</f>
        <v>305342.94840175606</v>
      </c>
      <c r="AJ62" s="150">
        <f>AJ63-SUM(AJ57,AJ61)</f>
        <v>146690.53296239511</v>
      </c>
      <c r="AK62" s="148">
        <f>AJ62+AK63-SUM(AK57,AK61)</f>
        <v>305342.94840175606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 thickBot="1">
      <c r="A63" s="1" t="s">
        <v>33</v>
      </c>
      <c r="B63" s="81">
        <f>B52</f>
        <v>300233.92405063292</v>
      </c>
      <c r="C63" s="39"/>
      <c r="D63" s="38"/>
      <c r="E63" s="32"/>
      <c r="F63" s="32"/>
      <c r="G63" s="32"/>
      <c r="H63" s="31"/>
      <c r="I63" s="39">
        <f>I112*I$70</f>
        <v>639757.11139240512</v>
      </c>
      <c r="J63" s="51">
        <f>J112*I$70</f>
        <v>318245.3065923503</v>
      </c>
      <c r="K63" s="40">
        <f>SUM(K57:K62)</f>
        <v>1</v>
      </c>
      <c r="L63" s="22">
        <f>SUM(L57:L62)</f>
        <v>1.0654310858031377</v>
      </c>
      <c r="M63" s="24">
        <f>SUM(M57:M62)</f>
        <v>1.0599911638855306</v>
      </c>
      <c r="O63" s="2"/>
      <c r="P63" s="2"/>
      <c r="Q63" s="2"/>
      <c r="R63" s="2"/>
      <c r="S63" s="2"/>
      <c r="T63" s="2"/>
      <c r="U63" s="56"/>
      <c r="V63" s="56"/>
      <c r="W63" s="109"/>
      <c r="X63" s="190"/>
      <c r="Y63" s="190"/>
      <c r="Z63" s="136"/>
      <c r="AA63" s="153">
        <f>AA52</f>
        <v>76612.327939869065</v>
      </c>
      <c r="AB63" s="136"/>
      <c r="AC63" s="152">
        <f>AC52</f>
        <v>76479.896396762313</v>
      </c>
      <c r="AD63" s="136"/>
      <c r="AE63" s="152">
        <f>AE52</f>
        <v>76684.082682273583</v>
      </c>
      <c r="AF63" s="136"/>
      <c r="AG63" s="152">
        <f>AG52</f>
        <v>88468.99957344537</v>
      </c>
      <c r="AH63" s="136"/>
      <c r="AI63" s="152">
        <f>SUM(AA63,AC63,AE63,AG63)</f>
        <v>318245.3065923503</v>
      </c>
      <c r="AJ63" s="153">
        <f>SUM(AA63,AC63)</f>
        <v>153092.22433663136</v>
      </c>
      <c r="AK63" s="153">
        <f>SUM(AE63,AG63)</f>
        <v>165153.08225571894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 thickBot="1">
      <c r="A64" s="98" t="s">
        <v>38</v>
      </c>
      <c r="B64" s="81"/>
      <c r="C64" s="39"/>
      <c r="D64" s="38"/>
      <c r="E64" s="32"/>
      <c r="F64" s="32"/>
      <c r="G64" s="32"/>
      <c r="H64" s="31"/>
      <c r="I64" s="39">
        <f>I113*I$70</f>
        <v>77857.25</v>
      </c>
      <c r="J64" s="99">
        <f>J113*I$70</f>
        <v>0</v>
      </c>
      <c r="K64" s="40"/>
      <c r="L64" s="22">
        <f>-(L113*G$29*F$9/F$7)/B$112</f>
        <v>-3.5997597653812469E-2</v>
      </c>
      <c r="M64" s="24">
        <f>-J64/B$63</f>
        <v>0</v>
      </c>
      <c r="O64" s="2"/>
      <c r="P64" s="2"/>
      <c r="Q64" s="2"/>
      <c r="R64" s="2"/>
      <c r="S64" s="2"/>
      <c r="T64" s="2"/>
      <c r="U64" s="56"/>
      <c r="V64" s="56"/>
      <c r="W64" s="109"/>
      <c r="X64" s="109"/>
      <c r="Y64" s="160" t="s">
        <v>104</v>
      </c>
      <c r="Z64" s="158"/>
      <c r="AA64" s="110">
        <f>AA23*$I$70/4</f>
        <v>0</v>
      </c>
      <c r="AB64" s="111"/>
      <c r="AC64" s="110">
        <f>AC23*$I$70/4</f>
        <v>0</v>
      </c>
      <c r="AD64" s="111"/>
      <c r="AE64" s="110">
        <f>AE23*$I$70/4</f>
        <v>0</v>
      </c>
      <c r="AF64" s="111"/>
      <c r="AG64" s="110">
        <f>AG23*$I$70/4</f>
        <v>0</v>
      </c>
      <c r="AH64" s="109"/>
      <c r="AI64" s="153">
        <f>SUM(AA64,AC64,AE64,AG64)</f>
        <v>0</v>
      </c>
      <c r="AJ64" s="152">
        <f>SUM(AA64,AC64)</f>
        <v>0</v>
      </c>
      <c r="AK64" s="159">
        <f>SUM(AE64,AG64)</f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82" t="s">
        <v>39</v>
      </c>
      <c r="B65" s="39"/>
      <c r="C65" s="39"/>
      <c r="D65" s="38"/>
      <c r="E65" s="32"/>
      <c r="F65" s="32"/>
      <c r="G65" s="32"/>
      <c r="H65" s="31"/>
      <c r="I65" s="47"/>
      <c r="J65" s="48"/>
      <c r="K65" s="32"/>
      <c r="L65" s="32"/>
      <c r="M65" s="48"/>
      <c r="N65" s="2"/>
      <c r="O65" s="2"/>
      <c r="P65" s="2"/>
      <c r="Q65" s="2"/>
      <c r="R65" s="2"/>
      <c r="S65" s="2"/>
      <c r="T65" s="2"/>
      <c r="U65" s="56"/>
      <c r="V65" s="56"/>
      <c r="W65" s="109"/>
      <c r="X65" s="109"/>
      <c r="Y65" s="160" t="s">
        <v>105</v>
      </c>
      <c r="Z65" s="109"/>
      <c r="AA65" s="111">
        <f>IF(SUM(AG6:AG21)+((AG52-AG57-$J$62)*4/I$70)&lt;1,0,AG52-AG57-$J$62-(1-SUM(AG6:AG21))*I$70/4)</f>
        <v>0</v>
      </c>
      <c r="AB65" s="111"/>
      <c r="AC65" s="111">
        <f>IF(AA62&lt;0,0,AA62)</f>
        <v>73411.482252750939</v>
      </c>
      <c r="AD65" s="111"/>
      <c r="AE65" s="111">
        <f>AC62</f>
        <v>146690.53296239511</v>
      </c>
      <c r="AF65" s="111"/>
      <c r="AG65" s="111">
        <f>AE62</f>
        <v>220137.34629959546</v>
      </c>
      <c r="AH65" s="109"/>
      <c r="AI65" s="145"/>
      <c r="AJ65" s="109"/>
      <c r="AK65" s="145"/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4" customHeight="1">
      <c r="A66" s="39" t="s">
        <v>40</v>
      </c>
      <c r="B66" s="104" t="str">
        <f>[1]Summ!$J1037</f>
        <v>maize</v>
      </c>
      <c r="C66" s="39"/>
      <c r="D66" s="38"/>
      <c r="E66" s="32"/>
      <c r="F66" s="32"/>
      <c r="G66" s="32"/>
      <c r="H66" s="31"/>
      <c r="I66" s="47"/>
      <c r="J66" s="48"/>
      <c r="K66" s="32"/>
      <c r="L66" s="32"/>
      <c r="M66" s="48"/>
      <c r="N66" s="32"/>
      <c r="O66" s="2"/>
      <c r="P66" s="2"/>
      <c r="Q66" s="2"/>
      <c r="R66" s="2"/>
      <c r="S66" s="2"/>
      <c r="T66" s="2"/>
      <c r="U66" s="56"/>
      <c r="V66" s="56"/>
      <c r="W66" s="109"/>
      <c r="X66" s="109"/>
      <c r="Y66" s="160" t="s">
        <v>65</v>
      </c>
      <c r="Z66" s="109"/>
      <c r="AA66" s="111">
        <f>AA52-AA57+IF(SUM(AG6:AG21)+((AG52-AG57-$J$62)*4/I$70)&lt;1,0,AG52-AG57-$J$62-(1-SUM(AG6:AG21))*I$70/4)</f>
        <v>73411.482252750939</v>
      </c>
      <c r="AB66" s="111"/>
      <c r="AC66" s="111">
        <f>AA66-AA61+AC52-AC57</f>
        <v>146690.53296239511</v>
      </c>
      <c r="AD66" s="111"/>
      <c r="AE66" s="111">
        <f>AC66-AC61+AE52-AE57</f>
        <v>220173.76995755057</v>
      </c>
      <c r="AF66" s="111"/>
      <c r="AG66" s="111">
        <f>AE66-AE61+AG52-AG57</f>
        <v>305405.50018592272</v>
      </c>
      <c r="AH66" s="109"/>
      <c r="AI66" s="145"/>
      <c r="AJ66" s="109"/>
      <c r="AK66" s="145"/>
      <c r="AS66" s="25"/>
      <c r="AT66" s="25"/>
      <c r="AU66" s="25"/>
      <c r="AV66" s="25"/>
      <c r="AW66" s="25"/>
      <c r="AX66" s="25"/>
      <c r="AZ66" s="25"/>
      <c r="BA66" s="25"/>
      <c r="BB66" s="25"/>
      <c r="BC66" s="25"/>
      <c r="BD66" s="25"/>
      <c r="BE66" s="25"/>
      <c r="BI66" s="25"/>
      <c r="BJ66" s="25"/>
      <c r="BK66" s="25"/>
      <c r="BL66" s="25"/>
      <c r="BM66" s="25"/>
      <c r="BN66" s="25"/>
      <c r="BP66" s="25"/>
      <c r="BQ66" s="25"/>
      <c r="BR66" s="25"/>
      <c r="BS66" s="25"/>
      <c r="BT66" s="25"/>
      <c r="BU66" s="25"/>
      <c r="BX66" s="25"/>
      <c r="BY66" s="25"/>
      <c r="BZ66" s="25"/>
      <c r="CA66" s="25"/>
      <c r="CB66" s="25"/>
      <c r="CC66" s="25"/>
      <c r="CE66" s="25"/>
      <c r="CF66" s="25"/>
      <c r="CG66" s="25"/>
      <c r="CH66" s="25"/>
      <c r="CI66" s="25"/>
      <c r="CJ66" s="25"/>
    </row>
    <row r="67" spans="1:88" ht="14" customHeight="1">
      <c r="A67" s="39" t="s">
        <v>41</v>
      </c>
      <c r="B67" s="104">
        <f>[1]Summ!$J1038</f>
        <v>0.58061985920496251</v>
      </c>
      <c r="C67" s="39"/>
      <c r="D67" s="38"/>
      <c r="E67" s="32"/>
      <c r="F67" s="32"/>
      <c r="G67" s="32"/>
      <c r="H67" s="31"/>
      <c r="I67" s="47"/>
      <c r="J67" s="48"/>
      <c r="K67" s="32"/>
      <c r="L67" s="32"/>
      <c r="M67" s="48"/>
      <c r="N67" s="32"/>
      <c r="O67" s="2"/>
      <c r="P67" s="2"/>
      <c r="Q67" s="2"/>
      <c r="R67" s="2"/>
      <c r="S67" s="2"/>
      <c r="T67" s="2"/>
      <c r="U67" s="56"/>
      <c r="V67" s="56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45"/>
      <c r="AJ67" s="109"/>
      <c r="AK67" s="145"/>
      <c r="AS67" s="25"/>
      <c r="AT67" s="25"/>
      <c r="AU67" s="25"/>
      <c r="AV67" s="25"/>
      <c r="AW67" s="25"/>
      <c r="AX67" s="25"/>
      <c r="AZ67" s="25"/>
      <c r="BA67" s="25"/>
      <c r="BB67" s="25"/>
      <c r="BC67" s="25"/>
      <c r="BD67" s="25"/>
      <c r="BE67" s="25"/>
      <c r="BI67" s="25"/>
      <c r="BJ67" s="25"/>
      <c r="BK67" s="25"/>
      <c r="BL67" s="25"/>
      <c r="BM67" s="25"/>
      <c r="BN67" s="25"/>
      <c r="BP67" s="25"/>
      <c r="BQ67" s="25"/>
      <c r="BR67" s="25"/>
      <c r="BS67" s="25"/>
      <c r="BT67" s="25"/>
      <c r="BU67" s="25"/>
      <c r="BX67" s="25"/>
      <c r="BY67" s="25"/>
      <c r="BZ67" s="25"/>
      <c r="CA67" s="25"/>
      <c r="CB67" s="25"/>
      <c r="CC67" s="25"/>
      <c r="CE67" s="25"/>
      <c r="CF67" s="25"/>
      <c r="CG67" s="25"/>
      <c r="CH67" s="25"/>
      <c r="CI67" s="25"/>
      <c r="CJ67" s="25"/>
    </row>
    <row r="68" spans="1:88" ht="14" customHeight="1">
      <c r="A68" s="39" t="s">
        <v>42</v>
      </c>
      <c r="B68" s="232">
        <f>[1]Summ!$J1039</f>
        <v>5</v>
      </c>
      <c r="C68" s="39"/>
      <c r="D68" s="38"/>
      <c r="E68" s="32"/>
      <c r="F68" s="32"/>
      <c r="G68" s="32"/>
      <c r="H68" s="31"/>
      <c r="I68" s="47"/>
      <c r="J68" s="48"/>
      <c r="K68" s="32"/>
      <c r="L68" s="32"/>
      <c r="M68" s="48"/>
      <c r="N68" s="32"/>
      <c r="O68" s="2"/>
      <c r="P68" s="2"/>
      <c r="Q68" s="2"/>
      <c r="R68" s="2"/>
      <c r="S68" s="2"/>
      <c r="T68" s="2"/>
      <c r="U68" s="56"/>
      <c r="V68" s="56"/>
      <c r="W68" s="109"/>
      <c r="X68" s="109"/>
      <c r="Y68" s="109"/>
      <c r="Z68" s="142" t="s">
        <v>66</v>
      </c>
      <c r="AA68" s="158"/>
      <c r="AB68" s="158"/>
      <c r="AC68" s="158"/>
      <c r="AD68" s="158"/>
      <c r="AE68" s="158"/>
      <c r="AF68" s="158"/>
      <c r="AG68" s="143"/>
      <c r="AH68" s="113" t="s">
        <v>67</v>
      </c>
      <c r="AI68" s="145"/>
      <c r="AJ68" s="109"/>
      <c r="AK68" s="145"/>
      <c r="AS68" s="25"/>
      <c r="AT68" s="25"/>
      <c r="AU68" s="25"/>
      <c r="AV68" s="25"/>
      <c r="AW68" s="25"/>
      <c r="AX68" s="25"/>
      <c r="AZ68" s="25"/>
      <c r="BA68" s="25"/>
      <c r="BB68" s="25"/>
      <c r="BC68" s="25"/>
      <c r="BD68" s="25"/>
      <c r="BE68" s="25"/>
      <c r="BI68" s="25"/>
      <c r="BJ68" s="25"/>
      <c r="BK68" s="25"/>
      <c r="BL68" s="25"/>
      <c r="BM68" s="25"/>
      <c r="BN68" s="25"/>
      <c r="BP68" s="25"/>
      <c r="BQ68" s="25"/>
      <c r="BR68" s="25"/>
      <c r="BS68" s="25"/>
      <c r="BT68" s="25"/>
      <c r="BU68" s="25"/>
      <c r="BX68" s="25"/>
      <c r="BY68" s="25"/>
      <c r="BZ68" s="25"/>
      <c r="CA68" s="25"/>
      <c r="CB68" s="25"/>
      <c r="CC68" s="25"/>
      <c r="CE68" s="25"/>
      <c r="CF68" s="25"/>
      <c r="CG68" s="25"/>
      <c r="CH68" s="25"/>
      <c r="CI68" s="25"/>
      <c r="CJ68" s="25"/>
    </row>
    <row r="69" spans="1:88" ht="14" customHeight="1">
      <c r="A69" s="39" t="s">
        <v>43</v>
      </c>
      <c r="B69" s="104">
        <f>[1]Summ!$J1040</f>
        <v>5.625</v>
      </c>
      <c r="C69" s="39"/>
      <c r="D69" s="38"/>
      <c r="E69" s="32"/>
      <c r="F69" s="32"/>
      <c r="G69" s="32"/>
      <c r="H69" s="31"/>
      <c r="I69" s="47"/>
      <c r="J69" s="48"/>
      <c r="K69" s="32"/>
      <c r="L69" s="32"/>
      <c r="M69" s="48"/>
      <c r="N69" s="32"/>
      <c r="O69" s="2"/>
      <c r="P69" s="2"/>
      <c r="Q69" s="2"/>
      <c r="R69" s="2"/>
      <c r="S69" s="2"/>
      <c r="T69" s="2"/>
      <c r="U69" s="56"/>
      <c r="V69" s="56"/>
      <c r="X69" s="109"/>
      <c r="Y69" s="160" t="s">
        <v>68</v>
      </c>
      <c r="Z69" s="161">
        <f>IF($AH$69=0,0,AA69/$AH$69)</f>
        <v>1</v>
      </c>
      <c r="AA69" s="194">
        <f>Poor!AA69</f>
        <v>6.3000000000000007</v>
      </c>
      <c r="AB69" s="161">
        <f>IF($AH$69=0,0,AC69/$AH$69)</f>
        <v>1</v>
      </c>
      <c r="AC69" s="194">
        <f>Poor!AC69</f>
        <v>6.3000000000000007</v>
      </c>
      <c r="AD69" s="161">
        <f>IF($AH$69=0,0,AE69/$AH$69)</f>
        <v>1</v>
      </c>
      <c r="AE69" s="194">
        <f>Poor!AE69</f>
        <v>6.3000000000000007</v>
      </c>
      <c r="AF69" s="161">
        <f>IF($AH$69=0,0,AG69/$AH$69)</f>
        <v>1</v>
      </c>
      <c r="AG69" s="194">
        <f>Poor!AG69</f>
        <v>6.3000000000000007</v>
      </c>
      <c r="AH69" s="163">
        <f>IF(PRODUCT(AA69,AC69,AE69,AG69)=0,0,SUM(AA69,AC69,AE69,AG69)/4)</f>
        <v>6.3000000000000007</v>
      </c>
      <c r="AI69" s="145"/>
      <c r="AJ69" s="109"/>
      <c r="AK69" s="145"/>
      <c r="AS69" s="25"/>
      <c r="AT69" s="25"/>
      <c r="AU69" s="25"/>
      <c r="AV69" s="25"/>
      <c r="AW69" s="25"/>
      <c r="AX69" s="25"/>
      <c r="AZ69" s="25"/>
      <c r="BA69" s="25"/>
      <c r="BB69" s="25"/>
      <c r="BC69" s="25"/>
      <c r="BD69" s="25"/>
      <c r="BE69" s="25"/>
      <c r="BI69" s="25"/>
      <c r="BJ69" s="25"/>
      <c r="BK69" s="25"/>
      <c r="BL69" s="25"/>
      <c r="BM69" s="25"/>
      <c r="BN69" s="25"/>
      <c r="BP69" s="25"/>
      <c r="BQ69" s="25"/>
      <c r="BR69" s="25"/>
      <c r="BS69" s="25"/>
      <c r="BT69" s="25"/>
      <c r="BU69" s="25"/>
      <c r="BX69" s="25"/>
      <c r="BY69" s="25"/>
      <c r="BZ69" s="25"/>
      <c r="CA69" s="25"/>
      <c r="CB69" s="25"/>
      <c r="CC69" s="25"/>
      <c r="CE69" s="25"/>
      <c r="CF69" s="25"/>
      <c r="CG69" s="25"/>
      <c r="CH69" s="25"/>
      <c r="CI69" s="25"/>
      <c r="CJ69" s="25"/>
    </row>
    <row r="70" spans="1:88" ht="14" customHeight="1">
      <c r="A70" s="39" t="s">
        <v>44</v>
      </c>
      <c r="B70" s="39">
        <f>365*B67*B68*B69</f>
        <v>5960.4257421509437</v>
      </c>
      <c r="C70" s="39"/>
      <c r="D70" s="38"/>
      <c r="E70" s="32"/>
      <c r="F70" s="32"/>
      <c r="G70" s="32"/>
      <c r="H70" s="24">
        <f>G$29*F$9/F$7</f>
        <v>1.1200000000000001</v>
      </c>
      <c r="I70" s="39">
        <f xml:space="preserve"> B70*H70</f>
        <v>6675.676831209058</v>
      </c>
      <c r="J70" s="48"/>
      <c r="K70" s="32"/>
      <c r="L70" s="32"/>
      <c r="M70" s="48"/>
      <c r="N70" s="32"/>
      <c r="O70" s="2"/>
      <c r="P70" s="2"/>
      <c r="Q70" s="2"/>
      <c r="R70" s="2"/>
      <c r="S70" s="2"/>
      <c r="T70" s="2"/>
      <c r="U70" s="56"/>
      <c r="V70" s="56"/>
      <c r="X70" s="109"/>
      <c r="Y70" s="160" t="s">
        <v>133</v>
      </c>
      <c r="Z70" s="109"/>
      <c r="AA70" s="164">
        <f>$I$70*Z69/4</f>
        <v>1668.9192078022645</v>
      </c>
      <c r="AB70" s="111"/>
      <c r="AC70" s="164">
        <f>$I$70*AB69/4</f>
        <v>1668.9192078022645</v>
      </c>
      <c r="AD70" s="111"/>
      <c r="AE70" s="164">
        <f>$I$70*AD69/4</f>
        <v>1668.9192078022645</v>
      </c>
      <c r="AF70" s="111"/>
      <c r="AG70" s="164">
        <f>$I$70*AF69/4</f>
        <v>1668.9192078022645</v>
      </c>
      <c r="AH70" s="164">
        <f>SUM(AA70,AC70,AE70,AG70)</f>
        <v>6675.676831209058</v>
      </c>
      <c r="AI70" s="145"/>
      <c r="AJ70" s="109"/>
      <c r="AK70" s="145"/>
      <c r="AS70" s="25"/>
      <c r="AT70" s="25"/>
      <c r="AU70" s="25"/>
      <c r="AV70" s="25"/>
      <c r="AW70" s="25"/>
      <c r="AX70" s="25"/>
      <c r="AZ70" s="25"/>
      <c r="BA70" s="25"/>
      <c r="BB70" s="25"/>
      <c r="BC70" s="25"/>
      <c r="BD70" s="25"/>
      <c r="BE70" s="25"/>
      <c r="BI70" s="25"/>
      <c r="BJ70" s="25"/>
      <c r="BK70" s="25"/>
      <c r="BL70" s="25"/>
      <c r="BM70" s="25"/>
      <c r="BN70" s="25"/>
      <c r="BP70" s="25"/>
      <c r="BQ70" s="25"/>
      <c r="BR70" s="25"/>
      <c r="BS70" s="25"/>
      <c r="BT70" s="25"/>
      <c r="BU70" s="25"/>
      <c r="BX70" s="25"/>
      <c r="BY70" s="25"/>
      <c r="BZ70" s="25"/>
      <c r="CA70" s="25"/>
      <c r="CB70" s="25"/>
      <c r="CC70" s="25"/>
      <c r="CE70" s="25"/>
      <c r="CF70" s="25"/>
      <c r="CG70" s="25"/>
      <c r="CH70" s="25"/>
      <c r="CI70" s="25"/>
      <c r="CJ70" s="25"/>
    </row>
    <row r="71" spans="1:88" ht="14" customHeight="1" thickBot="1">
      <c r="A71" s="46" t="s">
        <v>144</v>
      </c>
      <c r="B71" s="244">
        <f>B57+((1-D21)*B70)</f>
        <v>13697.440151779852</v>
      </c>
      <c r="C71" s="46"/>
      <c r="D71" s="245"/>
      <c r="E71" s="64"/>
      <c r="F71" s="64"/>
      <c r="G71" s="64"/>
      <c r="H71" s="246">
        <f>IF(B71=0,0,I71/B71)</f>
        <v>1.1363987392888162</v>
      </c>
      <c r="I71" s="244">
        <f>(B57*H57)+((1-(D21*H21))*I70)</f>
        <v>15565.753719966637</v>
      </c>
      <c r="J71" s="48"/>
      <c r="K71" s="32"/>
      <c r="L71" s="32"/>
      <c r="M71" s="48"/>
      <c r="N71" s="32"/>
      <c r="O71" s="2"/>
      <c r="P71" s="2"/>
      <c r="Q71" s="2"/>
      <c r="R71" s="2"/>
      <c r="S71" s="2"/>
      <c r="T71" s="2"/>
      <c r="U71" s="56"/>
      <c r="V71" s="56"/>
      <c r="X71" s="109"/>
      <c r="Y71" s="160"/>
      <c r="Z71" s="109"/>
      <c r="AA71" s="109"/>
      <c r="AB71" s="109"/>
      <c r="AC71" s="109"/>
      <c r="AD71" s="109"/>
      <c r="AE71" s="109"/>
      <c r="AF71" s="109"/>
      <c r="AG71" s="109"/>
      <c r="AH71" s="109"/>
      <c r="AI71" s="145"/>
      <c r="AJ71" s="109"/>
      <c r="AK71" s="145"/>
      <c r="AS71" s="25"/>
      <c r="AT71" s="25"/>
      <c r="AU71" s="25"/>
      <c r="AV71" s="25"/>
      <c r="AW71" s="25"/>
      <c r="AX71" s="25"/>
      <c r="AZ71" s="25"/>
      <c r="BA71" s="25"/>
      <c r="BB71" s="25"/>
      <c r="BC71" s="25"/>
      <c r="BD71" s="25"/>
      <c r="BE71" s="25"/>
      <c r="BI71" s="25"/>
      <c r="BJ71" s="25"/>
      <c r="BK71" s="25"/>
      <c r="BL71" s="25"/>
      <c r="BM71" s="25"/>
      <c r="BN71" s="25"/>
      <c r="BP71" s="25"/>
      <c r="BQ71" s="25"/>
      <c r="BR71" s="25"/>
      <c r="BS71" s="25"/>
      <c r="BT71" s="25"/>
      <c r="BU71" s="25"/>
      <c r="BX71" s="25"/>
      <c r="BY71" s="25"/>
      <c r="BZ71" s="25"/>
      <c r="CA71" s="25"/>
      <c r="CB71" s="25"/>
      <c r="CC71" s="25"/>
      <c r="CE71" s="25"/>
      <c r="CF71" s="25"/>
      <c r="CG71" s="25"/>
      <c r="CH71" s="25"/>
      <c r="CI71" s="25"/>
      <c r="CJ71" s="25"/>
    </row>
    <row r="72" spans="1:88" ht="14" customHeight="1" thickBot="1">
      <c r="A72" s="39" t="s">
        <v>45</v>
      </c>
      <c r="B72" s="39"/>
      <c r="C72" s="39"/>
      <c r="D72" s="38"/>
      <c r="E72" s="32"/>
      <c r="F72" s="32"/>
      <c r="G72" s="32"/>
      <c r="H72" s="31"/>
      <c r="I72" s="47"/>
      <c r="J72" s="48"/>
      <c r="K72" s="32"/>
      <c r="L72" s="32"/>
      <c r="M72" s="48"/>
      <c r="N72" s="32"/>
      <c r="O72" s="2"/>
      <c r="P72" s="2"/>
      <c r="Q72" s="2"/>
      <c r="R72" s="2"/>
      <c r="S72" s="2"/>
      <c r="T72" s="2"/>
      <c r="U72" s="56"/>
      <c r="V72" s="56"/>
      <c r="X72" s="109"/>
      <c r="Y72" s="160"/>
      <c r="Z72" s="109"/>
      <c r="AA72" s="112"/>
      <c r="AB72" s="109"/>
      <c r="AC72" s="112"/>
      <c r="AD72" s="109"/>
      <c r="AE72" s="112"/>
      <c r="AF72" s="109"/>
      <c r="AG72" s="112"/>
      <c r="AH72" s="109"/>
      <c r="AI72" s="191"/>
      <c r="AJ72" s="192"/>
      <c r="AK72" s="193"/>
      <c r="AS72" s="25"/>
      <c r="AT72" s="25"/>
      <c r="AU72" s="25"/>
      <c r="AV72" s="25"/>
      <c r="AW72" s="25"/>
      <c r="AX72" s="25"/>
      <c r="AZ72" s="25"/>
      <c r="BA72" s="25"/>
      <c r="BB72" s="25"/>
      <c r="BC72" s="25"/>
      <c r="BD72" s="25"/>
      <c r="BE72" s="25"/>
      <c r="BI72" s="25"/>
      <c r="BJ72" s="25"/>
      <c r="BK72" s="25"/>
      <c r="BL72" s="25"/>
      <c r="BM72" s="25"/>
      <c r="BN72" s="25"/>
      <c r="BP72" s="25"/>
      <c r="BQ72" s="25"/>
      <c r="BR72" s="25"/>
      <c r="BS72" s="25"/>
      <c r="BT72" s="25"/>
      <c r="BU72" s="25"/>
      <c r="BX72" s="25"/>
      <c r="BY72" s="25"/>
      <c r="BZ72" s="25"/>
      <c r="CA72" s="25"/>
      <c r="CB72" s="25"/>
      <c r="CC72" s="25"/>
      <c r="CE72" s="25"/>
      <c r="CF72" s="25"/>
      <c r="CG72" s="25"/>
      <c r="CH72" s="25"/>
      <c r="CI72" s="25"/>
      <c r="CJ72" s="25"/>
    </row>
    <row r="73" spans="1:88" ht="14" customHeight="1">
      <c r="A73" s="105"/>
      <c r="B73" s="106"/>
      <c r="C73" s="39"/>
      <c r="D73" s="38"/>
      <c r="E73" s="32"/>
      <c r="F73" s="32"/>
      <c r="G73" s="32"/>
      <c r="H73" s="31"/>
      <c r="I73" s="47"/>
      <c r="J73" s="48"/>
      <c r="K73" s="32"/>
      <c r="L73" s="32"/>
      <c r="M73" s="48"/>
      <c r="N73" s="3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S73" s="25"/>
      <c r="AT73" s="25"/>
      <c r="AU73" s="25"/>
      <c r="AV73" s="25"/>
      <c r="AW73" s="25"/>
      <c r="AX73" s="25"/>
      <c r="AZ73" s="25"/>
      <c r="BA73" s="25"/>
      <c r="BB73" s="25"/>
      <c r="BC73" s="25"/>
      <c r="BD73" s="25"/>
      <c r="BE73" s="25"/>
      <c r="BI73" s="25"/>
      <c r="BJ73" s="25"/>
      <c r="BK73" s="25"/>
      <c r="BL73" s="25"/>
      <c r="BM73" s="25"/>
      <c r="BN73" s="25"/>
      <c r="BP73" s="25"/>
      <c r="BQ73" s="25"/>
      <c r="BR73" s="25"/>
      <c r="BS73" s="25"/>
      <c r="BT73" s="25"/>
      <c r="BU73" s="25"/>
      <c r="BX73" s="25"/>
      <c r="BY73" s="25"/>
      <c r="BZ73" s="25"/>
      <c r="CA73" s="25"/>
      <c r="CB73" s="25"/>
      <c r="CC73" s="25"/>
      <c r="CE73" s="25"/>
      <c r="CF73" s="25"/>
      <c r="CG73" s="25"/>
      <c r="CH73" s="25"/>
      <c r="CI73" s="25"/>
      <c r="CJ73" s="25"/>
    </row>
    <row r="74" spans="1:88" ht="14" customHeight="1">
      <c r="A74" s="39" t="s">
        <v>125</v>
      </c>
      <c r="B74" s="75">
        <f>[1]Summ!$K$815</f>
        <v>0</v>
      </c>
      <c r="C74" s="14"/>
      <c r="D74" s="12"/>
      <c r="E74" s="14"/>
      <c r="F74" s="14"/>
      <c r="G74" s="14"/>
      <c r="H74" s="12"/>
      <c r="I74" s="14"/>
      <c r="J74" s="12"/>
      <c r="K74" s="14"/>
      <c r="L74" s="14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S74" s="25"/>
      <c r="AT74" s="25"/>
      <c r="AU74" s="25"/>
      <c r="AV74" s="25"/>
      <c r="AW74" s="25"/>
      <c r="AX74" s="25"/>
      <c r="AZ74" s="25"/>
      <c r="BA74" s="25"/>
      <c r="BB74" s="25"/>
      <c r="BC74" s="25"/>
      <c r="BD74" s="25"/>
      <c r="BE74" s="25"/>
      <c r="BI74" s="25"/>
      <c r="BJ74" s="25"/>
      <c r="BK74" s="25"/>
      <c r="BL74" s="25"/>
      <c r="BM74" s="25"/>
      <c r="BN74" s="25"/>
      <c r="BP74" s="25"/>
      <c r="BQ74" s="25"/>
      <c r="BR74" s="25"/>
      <c r="BS74" s="25"/>
      <c r="BT74" s="25"/>
      <c r="BU74" s="25"/>
      <c r="BX74" s="25"/>
      <c r="BY74" s="25"/>
      <c r="BZ74" s="25"/>
      <c r="CA74" s="25"/>
      <c r="CB74" s="25"/>
      <c r="CC74" s="25"/>
      <c r="CE74" s="25"/>
      <c r="CF74" s="25"/>
      <c r="CG74" s="25"/>
      <c r="CH74" s="25"/>
      <c r="CI74" s="25"/>
      <c r="CJ74" s="25"/>
    </row>
    <row r="75" spans="1:88" ht="15.75" customHeight="1">
      <c r="A75" s="73" t="str">
        <f>A26</f>
        <v>Income : Better-off HHs</v>
      </c>
      <c r="B75" s="2"/>
      <c r="C75" s="2"/>
      <c r="D75" s="31"/>
      <c r="E75" s="2"/>
      <c r="F75" s="2"/>
      <c r="G75" s="2"/>
      <c r="H75" s="17"/>
      <c r="I75" s="2"/>
      <c r="J75" s="33"/>
      <c r="M75" s="57"/>
      <c r="N75" s="58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S75" s="25"/>
      <c r="AT75" s="25"/>
      <c r="AU75" s="25"/>
      <c r="AV75" s="25"/>
      <c r="AW75" s="25"/>
      <c r="AX75" s="25"/>
      <c r="AZ75" s="25"/>
      <c r="BA75" s="25"/>
      <c r="BB75" s="25"/>
      <c r="BC75" s="25"/>
      <c r="BD75" s="25"/>
      <c r="BE75" s="25"/>
      <c r="BI75" s="25"/>
      <c r="BJ75" s="25"/>
      <c r="BK75" s="25"/>
      <c r="BL75" s="25"/>
      <c r="BM75" s="25"/>
      <c r="BN75" s="25"/>
      <c r="BP75" s="25"/>
      <c r="BQ75" s="25"/>
      <c r="BR75" s="25"/>
      <c r="BS75" s="25"/>
      <c r="BT75" s="25"/>
      <c r="BU75" s="25"/>
      <c r="BX75" s="25"/>
      <c r="BY75" s="25"/>
      <c r="BZ75" s="25"/>
      <c r="CA75" s="25"/>
      <c r="CB75" s="25"/>
      <c r="CC75" s="25"/>
      <c r="CE75" s="25"/>
      <c r="CF75" s="25"/>
      <c r="CG75" s="25"/>
      <c r="CH75" s="25"/>
      <c r="CI75" s="25"/>
      <c r="CJ75" s="25"/>
    </row>
    <row r="76" spans="1:88" ht="14" customHeight="1">
      <c r="A76" s="2"/>
      <c r="B76" s="19" t="s">
        <v>7</v>
      </c>
      <c r="C76" s="19" t="s">
        <v>8</v>
      </c>
      <c r="D76" s="16" t="s">
        <v>9</v>
      </c>
      <c r="H76" s="16" t="s">
        <v>12</v>
      </c>
      <c r="I76" s="19" t="s">
        <v>13</v>
      </c>
      <c r="J76" s="16" t="s">
        <v>14</v>
      </c>
      <c r="K76" s="19" t="s">
        <v>7</v>
      </c>
      <c r="L76" s="19" t="s">
        <v>15</v>
      </c>
      <c r="M76" s="57" t="str">
        <f t="shared" ref="M76:M101" si="41">(J76)</f>
        <v>Curr.</v>
      </c>
      <c r="N76" s="58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S76" s="25"/>
      <c r="AT76" s="25"/>
      <c r="AU76" s="25"/>
      <c r="AV76" s="25"/>
      <c r="AW76" s="25"/>
      <c r="AX76" s="25"/>
      <c r="AZ76" s="25"/>
      <c r="BA76" s="25"/>
      <c r="BB76" s="25"/>
      <c r="BC76" s="25"/>
      <c r="BD76" s="25"/>
      <c r="BE76" s="25"/>
      <c r="BI76" s="25"/>
      <c r="BJ76" s="25"/>
      <c r="BK76" s="25"/>
      <c r="BL76" s="25"/>
      <c r="BM76" s="25"/>
      <c r="BN76" s="25"/>
      <c r="BP76" s="25"/>
      <c r="BQ76" s="25"/>
      <c r="BR76" s="25"/>
      <c r="BS76" s="25"/>
      <c r="BT76" s="25"/>
      <c r="BU76" s="25"/>
      <c r="BX76" s="25"/>
      <c r="BY76" s="25"/>
      <c r="BZ76" s="25"/>
      <c r="CA76" s="25"/>
      <c r="CB76" s="25"/>
      <c r="CC76" s="25"/>
      <c r="CE76" s="25"/>
      <c r="CF76" s="25"/>
      <c r="CG76" s="25"/>
      <c r="CH76" s="25"/>
      <c r="CI76" s="25"/>
      <c r="CJ76" s="25"/>
    </row>
    <row r="77" spans="1:88" ht="14" customHeight="1">
      <c r="A77" s="2" t="s">
        <v>46</v>
      </c>
      <c r="B77" s="19" t="s">
        <v>16</v>
      </c>
      <c r="C77" s="19" t="s">
        <v>17</v>
      </c>
      <c r="D77" s="16" t="s">
        <v>16</v>
      </c>
      <c r="H77" s="16" t="s">
        <v>18</v>
      </c>
      <c r="I77" s="19" t="s">
        <v>16</v>
      </c>
      <c r="J77" s="16" t="s">
        <v>16</v>
      </c>
      <c r="K77" s="19" t="s">
        <v>16</v>
      </c>
      <c r="L77" s="19" t="s">
        <v>20</v>
      </c>
      <c r="M77" s="57" t="str">
        <f t="shared" si="41"/>
        <v>Access</v>
      </c>
      <c r="N77" s="58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S77" s="25"/>
      <c r="AT77" s="25"/>
      <c r="AU77" s="25"/>
      <c r="AV77" s="25"/>
      <c r="AW77" s="25"/>
      <c r="AX77" s="25"/>
      <c r="AZ77" s="25"/>
      <c r="BA77" s="25"/>
      <c r="BB77" s="25"/>
      <c r="BC77" s="25"/>
      <c r="BD77" s="25"/>
      <c r="BE77" s="25"/>
      <c r="BI77" s="25"/>
      <c r="BJ77" s="25"/>
      <c r="BK77" s="25"/>
      <c r="BL77" s="25"/>
      <c r="BM77" s="25"/>
      <c r="BN77" s="25"/>
      <c r="BP77" s="25"/>
      <c r="BQ77" s="25"/>
      <c r="BR77" s="25"/>
      <c r="BS77" s="25"/>
      <c r="BT77" s="25"/>
      <c r="BU77" s="25"/>
      <c r="BX77" s="25"/>
      <c r="BY77" s="25"/>
      <c r="BZ77" s="25"/>
      <c r="CA77" s="25"/>
      <c r="CB77" s="25"/>
      <c r="CC77" s="25"/>
      <c r="CE77" s="25"/>
      <c r="CF77" s="25"/>
      <c r="CG77" s="25"/>
      <c r="CH77" s="25"/>
      <c r="CI77" s="25"/>
      <c r="CJ77" s="25"/>
    </row>
    <row r="78" spans="1:88" ht="14" customHeight="1">
      <c r="A78" s="2" t="str">
        <f t="shared" ref="A78:A100" si="42">IF(A29="","",A29)</f>
        <v>Pig sales: no sold</v>
      </c>
      <c r="B78" s="75">
        <f t="shared" ref="B78:C100" si="43">(B29/$B$70)</f>
        <v>0.10066395018679949</v>
      </c>
      <c r="C78" s="75">
        <f t="shared" si="43"/>
        <v>0.10066395018679949</v>
      </c>
      <c r="D78" s="24">
        <f t="shared" ref="D78:D100" si="44">(B78+C78)</f>
        <v>0.20132790037359899</v>
      </c>
      <c r="H78" s="24">
        <f t="shared" ref="H78:H100" si="45">(E29*F29/G29*F$7/F$9)</f>
        <v>0.9196428571428571</v>
      </c>
      <c r="I78" s="22">
        <f t="shared" ref="I78:I100" si="46">(D78*H78)</f>
        <v>0.18514976552214907</v>
      </c>
      <c r="J78" s="24">
        <f t="shared" ref="J78:J100" si="47">IF(I$24&lt;=1+I$113,I78,L78+J$25*(I78-L78))</f>
        <v>9.2102210111982205E-2</v>
      </c>
      <c r="K78" s="22">
        <f t="shared" ref="K78:K100" si="48">(B78)</f>
        <v>0.10066395018679949</v>
      </c>
      <c r="L78" s="22">
        <f t="shared" ref="L78:L100" si="49">(K78*H78)</f>
        <v>9.2574882761074534E-2</v>
      </c>
      <c r="M78" s="229">
        <f t="shared" si="41"/>
        <v>9.2102210111982205E-2</v>
      </c>
      <c r="N78" s="231">
        <v>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S78" s="25"/>
      <c r="AT78" s="25"/>
      <c r="AU78" s="25"/>
      <c r="AV78" s="25"/>
      <c r="AW78" s="25"/>
      <c r="AX78" s="25"/>
      <c r="AZ78" s="25"/>
      <c r="BA78" s="25"/>
      <c r="BB78" s="25"/>
      <c r="BC78" s="25"/>
      <c r="BD78" s="25"/>
      <c r="BE78" s="25"/>
      <c r="BI78" s="25"/>
      <c r="BJ78" s="25"/>
      <c r="BK78" s="25"/>
      <c r="BL78" s="25"/>
      <c r="BM78" s="25"/>
      <c r="BN78" s="25"/>
      <c r="BP78" s="25"/>
      <c r="BQ78" s="25"/>
      <c r="BR78" s="25"/>
      <c r="BS78" s="25"/>
      <c r="BT78" s="25"/>
      <c r="BU78" s="25"/>
      <c r="BX78" s="25"/>
      <c r="BY78" s="25"/>
      <c r="BZ78" s="25"/>
      <c r="CA78" s="25"/>
      <c r="CB78" s="25"/>
      <c r="CC78" s="25"/>
      <c r="CE78" s="25"/>
      <c r="CF78" s="25"/>
      <c r="CG78" s="25"/>
      <c r="CH78" s="25"/>
      <c r="CI78" s="25"/>
      <c r="CJ78" s="25"/>
    </row>
    <row r="79" spans="1:88" ht="14" customHeight="1">
      <c r="A79" s="2" t="str">
        <f t="shared" si="42"/>
        <v>Cattle sales - local: no. sold</v>
      </c>
      <c r="B79" s="75">
        <f t="shared" si="43"/>
        <v>2.01327900373599</v>
      </c>
      <c r="C79" s="75">
        <f t="shared" si="43"/>
        <v>2.01327900373599</v>
      </c>
      <c r="D79" s="24">
        <f t="shared" si="44"/>
        <v>4.02655800747198</v>
      </c>
      <c r="H79" s="24">
        <f t="shared" si="45"/>
        <v>0.99107142857142871</v>
      </c>
      <c r="I79" s="22">
        <f t="shared" si="46"/>
        <v>3.9906065966909807</v>
      </c>
      <c r="J79" s="24">
        <f t="shared" si="47"/>
        <v>1.9851155965883547</v>
      </c>
      <c r="K79" s="22">
        <f t="shared" si="48"/>
        <v>2.01327900373599</v>
      </c>
      <c r="L79" s="22">
        <f t="shared" si="49"/>
        <v>1.9953032983454904</v>
      </c>
      <c r="M79" s="229">
        <f t="shared" si="41"/>
        <v>1.9851155965883547</v>
      </c>
      <c r="N79" s="231">
        <v>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2" t="str">
        <f t="shared" si="42"/>
        <v>Goat sales - local: no. sold</v>
      </c>
      <c r="B80" s="75">
        <f t="shared" si="43"/>
        <v>0.70464765130759643</v>
      </c>
      <c r="C80" s="75">
        <f t="shared" si="43"/>
        <v>0.70464765130759643</v>
      </c>
      <c r="D80" s="24">
        <f t="shared" si="44"/>
        <v>1.4092953026151929</v>
      </c>
      <c r="H80" s="24">
        <f t="shared" si="45"/>
        <v>0.9732142857142857</v>
      </c>
      <c r="I80" s="22">
        <f t="shared" si="46"/>
        <v>1.3715463212951431</v>
      </c>
      <c r="J80" s="24">
        <f t="shared" si="47"/>
        <v>0.6822717118004118</v>
      </c>
      <c r="K80" s="22">
        <f t="shared" si="48"/>
        <v>0.70464765130759643</v>
      </c>
      <c r="L80" s="22">
        <f t="shared" si="49"/>
        <v>0.68577316064757154</v>
      </c>
      <c r="M80" s="229">
        <f t="shared" si="41"/>
        <v>0.6822717118004118</v>
      </c>
      <c r="N80" s="231">
        <v>5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2" t="str">
        <f t="shared" si="42"/>
        <v>Sheep sales - local: no. sold</v>
      </c>
      <c r="B81" s="75">
        <f t="shared" si="43"/>
        <v>0.15099592528019923</v>
      </c>
      <c r="C81" s="75">
        <f t="shared" si="43"/>
        <v>0.15099592528019923</v>
      </c>
      <c r="D81" s="24">
        <f t="shared" si="44"/>
        <v>0.30199185056039846</v>
      </c>
      <c r="H81" s="24">
        <f t="shared" si="45"/>
        <v>0.9732142857142857</v>
      </c>
      <c r="I81" s="22">
        <f t="shared" si="46"/>
        <v>0.2939027831346735</v>
      </c>
      <c r="J81" s="24">
        <f t="shared" si="47"/>
        <v>0.14620108110008825</v>
      </c>
      <c r="K81" s="22">
        <f t="shared" si="48"/>
        <v>0.15099592528019923</v>
      </c>
      <c r="L81" s="22">
        <f t="shared" si="49"/>
        <v>0.14695139156733675</v>
      </c>
      <c r="M81" s="229">
        <f t="shared" si="41"/>
        <v>0.14620108110008825</v>
      </c>
      <c r="N81" s="231">
        <v>5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2" t="str">
        <f t="shared" si="42"/>
        <v>Chicken sales: no. sold</v>
      </c>
      <c r="B82" s="75">
        <f t="shared" si="43"/>
        <v>6.7948166376089664E-2</v>
      </c>
      <c r="C82" s="75">
        <f t="shared" si="43"/>
        <v>6.7948166376089664E-2</v>
      </c>
      <c r="D82" s="24">
        <f t="shared" si="44"/>
        <v>0.13589633275217933</v>
      </c>
      <c r="H82" s="24">
        <f t="shared" si="45"/>
        <v>0.9732142857142857</v>
      </c>
      <c r="I82" s="22">
        <f t="shared" si="46"/>
        <v>0.1322562524106031</v>
      </c>
      <c r="J82" s="24">
        <f t="shared" si="47"/>
        <v>6.5790486495039727E-2</v>
      </c>
      <c r="K82" s="22">
        <f t="shared" si="48"/>
        <v>6.7948166376089664E-2</v>
      </c>
      <c r="L82" s="22">
        <f t="shared" si="49"/>
        <v>6.6128126205301549E-2</v>
      </c>
      <c r="M82" s="229">
        <f t="shared" si="41"/>
        <v>6.5790486495039727E-2</v>
      </c>
      <c r="N82" s="231">
        <v>5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2" t="str">
        <f t="shared" si="42"/>
        <v>Maize: kg produced</v>
      </c>
      <c r="B83" s="75">
        <f t="shared" si="43"/>
        <v>0.15099592528019923</v>
      </c>
      <c r="C83" s="75">
        <f t="shared" si="43"/>
        <v>0.15099592528019923</v>
      </c>
      <c r="D83" s="24">
        <f t="shared" si="44"/>
        <v>0.30199185056039846</v>
      </c>
      <c r="H83" s="24">
        <f t="shared" si="45"/>
        <v>0.9107142857142857</v>
      </c>
      <c r="I83" s="22">
        <f t="shared" si="46"/>
        <v>0.27502829247464861</v>
      </c>
      <c r="J83" s="24">
        <f t="shared" si="47"/>
        <v>0.13681202084595415</v>
      </c>
      <c r="K83" s="22">
        <f t="shared" si="48"/>
        <v>0.15099592528019923</v>
      </c>
      <c r="L83" s="22">
        <f t="shared" si="49"/>
        <v>0.1375141462373243</v>
      </c>
      <c r="M83" s="229">
        <f t="shared" si="41"/>
        <v>0.13681202084595415</v>
      </c>
      <c r="N83" s="231">
        <v>2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>
      <c r="A84" s="2" t="str">
        <f t="shared" si="42"/>
        <v>Cowpeas: kg produced</v>
      </c>
      <c r="B84" s="75">
        <f t="shared" si="43"/>
        <v>2.5165987546699874E-2</v>
      </c>
      <c r="C84" s="75">
        <f t="shared" si="43"/>
        <v>2.5165987546699874E-2</v>
      </c>
      <c r="D84" s="24">
        <f t="shared" si="44"/>
        <v>5.0331975093399747E-2</v>
      </c>
      <c r="H84" s="24">
        <f t="shared" si="45"/>
        <v>0.89285714285714279</v>
      </c>
      <c r="I84" s="22">
        <f t="shared" si="46"/>
        <v>4.4939263476249769E-2</v>
      </c>
      <c r="J84" s="24">
        <f t="shared" si="47"/>
        <v>2.2354905366985971E-2</v>
      </c>
      <c r="K84" s="22">
        <f t="shared" si="48"/>
        <v>2.5165987546699874E-2</v>
      </c>
      <c r="L84" s="22">
        <f t="shared" si="49"/>
        <v>2.2469631738124884E-2</v>
      </c>
      <c r="M84" s="229">
        <f t="shared" si="41"/>
        <v>2.2354905366985971E-2</v>
      </c>
      <c r="N84" s="231">
        <v>2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>
      <c r="A85" s="2" t="str">
        <f t="shared" si="42"/>
        <v>Pumpkin: kg produce</v>
      </c>
      <c r="B85" s="75">
        <f t="shared" si="43"/>
        <v>0.25165987546699875</v>
      </c>
      <c r="C85" s="75">
        <f t="shared" si="43"/>
        <v>0.25165987546699875</v>
      </c>
      <c r="D85" s="24">
        <f t="shared" si="44"/>
        <v>0.5033197509339975</v>
      </c>
      <c r="H85" s="24">
        <f t="shared" si="45"/>
        <v>0.98214285714285721</v>
      </c>
      <c r="I85" s="22">
        <f t="shared" si="46"/>
        <v>0.49433189823874757</v>
      </c>
      <c r="J85" s="24">
        <f t="shared" si="47"/>
        <v>0.24590395903684573</v>
      </c>
      <c r="K85" s="22">
        <f t="shared" si="48"/>
        <v>0.25165987546699875</v>
      </c>
      <c r="L85" s="22">
        <f t="shared" si="49"/>
        <v>0.24716594911937378</v>
      </c>
      <c r="M85" s="229">
        <f t="shared" si="41"/>
        <v>0.24590395903684573</v>
      </c>
      <c r="N85" s="231">
        <v>2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2" t="str">
        <f t="shared" si="42"/>
        <v>Cabbage: number produced</v>
      </c>
      <c r="B86" s="75">
        <f t="shared" si="43"/>
        <v>2.5165987546699874E-2</v>
      </c>
      <c r="C86" s="75">
        <f t="shared" si="43"/>
        <v>2.5165987546699874E-2</v>
      </c>
      <c r="D86" s="24">
        <f t="shared" si="44"/>
        <v>5.0331975093399747E-2</v>
      </c>
      <c r="H86" s="24">
        <f t="shared" si="45"/>
        <v>0.9642857142857143</v>
      </c>
      <c r="I86" s="22">
        <f t="shared" si="46"/>
        <v>4.8534404554349757E-2</v>
      </c>
      <c r="J86" s="24">
        <f t="shared" si="47"/>
        <v>2.4143297796344849E-2</v>
      </c>
      <c r="K86" s="22">
        <f t="shared" si="48"/>
        <v>2.5165987546699874E-2</v>
      </c>
      <c r="L86" s="22">
        <f t="shared" si="49"/>
        <v>2.4267202277174878E-2</v>
      </c>
      <c r="M86" s="229">
        <f t="shared" si="41"/>
        <v>2.4143297796344849E-2</v>
      </c>
      <c r="N86" s="231">
        <v>2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2" t="str">
        <f t="shared" si="42"/>
        <v>Tomato: kg produced</v>
      </c>
      <c r="B87" s="75">
        <f t="shared" si="43"/>
        <v>1.1744127521793275</v>
      </c>
      <c r="C87" s="75">
        <f t="shared" si="43"/>
        <v>1.1744127521793275</v>
      </c>
      <c r="D87" s="24">
        <f t="shared" si="44"/>
        <v>2.348825504358655</v>
      </c>
      <c r="H87" s="24">
        <f t="shared" si="45"/>
        <v>0.83928571428571419</v>
      </c>
      <c r="I87" s="22">
        <f t="shared" si="46"/>
        <v>1.9713356911581565</v>
      </c>
      <c r="J87" s="24">
        <f t="shared" si="47"/>
        <v>0.98063518209845113</v>
      </c>
      <c r="K87" s="22">
        <f t="shared" si="48"/>
        <v>1.1744127521793275</v>
      </c>
      <c r="L87" s="22">
        <f t="shared" si="49"/>
        <v>0.98566784557907827</v>
      </c>
      <c r="M87" s="229">
        <f t="shared" si="41"/>
        <v>0.98063518209845113</v>
      </c>
      <c r="N87" s="231">
        <v>2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4" customHeight="1">
      <c r="A88" s="2" t="str">
        <f t="shared" si="42"/>
        <v>Onions: kg produced</v>
      </c>
      <c r="B88" s="75">
        <f t="shared" si="43"/>
        <v>0.58720637608966375</v>
      </c>
      <c r="C88" s="75">
        <f t="shared" si="43"/>
        <v>0.58720637608966375</v>
      </c>
      <c r="D88" s="24">
        <f t="shared" si="44"/>
        <v>1.1744127521793275</v>
      </c>
      <c r="H88" s="24">
        <f t="shared" si="45"/>
        <v>0.83035714285714279</v>
      </c>
      <c r="I88" s="22">
        <f t="shared" si="46"/>
        <v>0.97518201743462007</v>
      </c>
      <c r="J88" s="24">
        <f t="shared" si="47"/>
        <v>0.4851014464635956</v>
      </c>
      <c r="K88" s="22">
        <f t="shared" si="48"/>
        <v>0.58720637608966375</v>
      </c>
      <c r="L88" s="22">
        <f t="shared" si="49"/>
        <v>0.48759100871731004</v>
      </c>
      <c r="M88" s="229">
        <f t="shared" si="41"/>
        <v>0.4851014464635956</v>
      </c>
      <c r="N88" s="231">
        <v>2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 t="str">
        <f t="shared" si="42"/>
        <v>Beetroot: kg produced</v>
      </c>
      <c r="B89" s="75">
        <f t="shared" si="43"/>
        <v>3.3554650062266496E-2</v>
      </c>
      <c r="C89" s="75">
        <f t="shared" si="43"/>
        <v>3.3554650062266496E-2</v>
      </c>
      <c r="D89" s="24">
        <f t="shared" si="44"/>
        <v>6.7109300124532992E-2</v>
      </c>
      <c r="H89" s="24">
        <f t="shared" si="45"/>
        <v>0.89285714285714279</v>
      </c>
      <c r="I89" s="22">
        <f t="shared" si="46"/>
        <v>5.9919017968333023E-2</v>
      </c>
      <c r="J89" s="24">
        <f t="shared" si="47"/>
        <v>2.9806540489314623E-2</v>
      </c>
      <c r="K89" s="22">
        <f t="shared" si="48"/>
        <v>3.3554650062266496E-2</v>
      </c>
      <c r="L89" s="22">
        <f t="shared" si="49"/>
        <v>2.9959508984166511E-2</v>
      </c>
      <c r="M89" s="229">
        <f t="shared" si="41"/>
        <v>2.9806540489314623E-2</v>
      </c>
      <c r="N89" s="231">
        <v>2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tr">
        <f t="shared" si="42"/>
        <v>Spinach: kg produced</v>
      </c>
      <c r="B90" s="75">
        <f t="shared" si="43"/>
        <v>4.1943312577833125E-2</v>
      </c>
      <c r="C90" s="75">
        <f t="shared" si="43"/>
        <v>4.1943312577833125E-2</v>
      </c>
      <c r="D90" s="24">
        <f t="shared" si="44"/>
        <v>8.388662515566625E-2</v>
      </c>
      <c r="H90" s="24">
        <f t="shared" si="45"/>
        <v>0.9196428571428571</v>
      </c>
      <c r="I90" s="22">
        <f t="shared" si="46"/>
        <v>7.7145735634228774E-2</v>
      </c>
      <c r="J90" s="24">
        <f t="shared" si="47"/>
        <v>3.837592087999258E-2</v>
      </c>
      <c r="K90" s="22">
        <f t="shared" si="48"/>
        <v>4.1943312577833125E-2</v>
      </c>
      <c r="L90" s="22">
        <f t="shared" si="49"/>
        <v>3.8572867817114387E-2</v>
      </c>
      <c r="M90" s="229">
        <f t="shared" si="41"/>
        <v>3.837592087999258E-2</v>
      </c>
      <c r="N90" s="231">
        <v>2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si="42"/>
        <v>WILD FOODS -- see worksheet Data 3</v>
      </c>
      <c r="B91" s="75">
        <f t="shared" si="43"/>
        <v>0</v>
      </c>
      <c r="C91" s="75">
        <f t="shared" si="43"/>
        <v>0</v>
      </c>
      <c r="D91" s="24">
        <f t="shared" si="44"/>
        <v>0</v>
      </c>
      <c r="H91" s="24">
        <f t="shared" si="45"/>
        <v>0.7142857142857143</v>
      </c>
      <c r="I91" s="22">
        <f t="shared" si="46"/>
        <v>0</v>
      </c>
      <c r="J91" s="24">
        <f t="shared" si="47"/>
        <v>0</v>
      </c>
      <c r="K91" s="22">
        <f t="shared" si="48"/>
        <v>0</v>
      </c>
      <c r="L91" s="22">
        <f t="shared" si="49"/>
        <v>0</v>
      </c>
      <c r="M91" s="229">
        <f t="shared" si="41"/>
        <v>0</v>
      </c>
      <c r="N91" s="231">
        <v>6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42"/>
        <v>Agricultural cash income -- see Data2</v>
      </c>
      <c r="B92" s="75">
        <f t="shared" si="43"/>
        <v>0</v>
      </c>
      <c r="C92" s="75">
        <f t="shared" si="43"/>
        <v>0</v>
      </c>
      <c r="D92" s="24">
        <f t="shared" si="44"/>
        <v>0</v>
      </c>
      <c r="H92" s="24">
        <f t="shared" si="45"/>
        <v>0.86223214285714289</v>
      </c>
      <c r="I92" s="22">
        <f t="shared" si="46"/>
        <v>0</v>
      </c>
      <c r="J92" s="24">
        <f t="shared" si="47"/>
        <v>0</v>
      </c>
      <c r="K92" s="22">
        <f t="shared" si="48"/>
        <v>0</v>
      </c>
      <c r="L92" s="22">
        <f t="shared" si="49"/>
        <v>0</v>
      </c>
      <c r="M92" s="229">
        <f t="shared" si="41"/>
        <v>0</v>
      </c>
      <c r="N92" s="231">
        <v>7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42"/>
        <v>Domestic work cash income -- see Data2</v>
      </c>
      <c r="B93" s="75">
        <f t="shared" si="43"/>
        <v>0</v>
      </c>
      <c r="C93" s="75">
        <f t="shared" si="43"/>
        <v>0</v>
      </c>
      <c r="D93" s="24">
        <f t="shared" si="44"/>
        <v>0</v>
      </c>
      <c r="H93" s="24">
        <f t="shared" si="45"/>
        <v>0.98214285714285721</v>
      </c>
      <c r="I93" s="22">
        <f t="shared" si="46"/>
        <v>0</v>
      </c>
      <c r="J93" s="24">
        <f t="shared" si="47"/>
        <v>0</v>
      </c>
      <c r="K93" s="22">
        <f t="shared" si="48"/>
        <v>0</v>
      </c>
      <c r="L93" s="22">
        <f t="shared" si="49"/>
        <v>0</v>
      </c>
      <c r="M93" s="57">
        <f t="shared" si="41"/>
        <v>0</v>
      </c>
      <c r="N93" s="231">
        <v>7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42"/>
        <v>Formal Employment (conservancies, etc.)</v>
      </c>
      <c r="B94" s="75">
        <f t="shared" si="43"/>
        <v>34.225743063511828</v>
      </c>
      <c r="C94" s="75">
        <f t="shared" si="43"/>
        <v>34.225743063511828</v>
      </c>
      <c r="D94" s="24">
        <f t="shared" si="44"/>
        <v>68.451486127023657</v>
      </c>
      <c r="H94" s="24">
        <f t="shared" si="45"/>
        <v>0.95535714285714279</v>
      </c>
      <c r="I94" s="22">
        <f t="shared" si="46"/>
        <v>65.395616210638664</v>
      </c>
      <c r="J94" s="24">
        <f t="shared" si="47"/>
        <v>32.530858290037983</v>
      </c>
      <c r="K94" s="22">
        <f t="shared" si="48"/>
        <v>34.225743063511828</v>
      </c>
      <c r="L94" s="22">
        <f t="shared" si="49"/>
        <v>32.697808105319332</v>
      </c>
      <c r="M94" s="57">
        <f t="shared" si="41"/>
        <v>32.530858290037983</v>
      </c>
      <c r="N94" s="231">
        <v>8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42"/>
        <v>Self-employment -- see Data2</v>
      </c>
      <c r="B95" s="75">
        <f t="shared" si="43"/>
        <v>1.006639501867995</v>
      </c>
      <c r="C95" s="75">
        <f t="shared" si="43"/>
        <v>1.006639501867995</v>
      </c>
      <c r="D95" s="24">
        <f t="shared" si="44"/>
        <v>2.01327900373599</v>
      </c>
      <c r="H95" s="24">
        <f t="shared" si="45"/>
        <v>0.98214285714285721</v>
      </c>
      <c r="I95" s="22">
        <f t="shared" si="46"/>
        <v>1.9773275929549903</v>
      </c>
      <c r="J95" s="24">
        <f t="shared" si="47"/>
        <v>0.9836158361473829</v>
      </c>
      <c r="K95" s="22">
        <f t="shared" si="48"/>
        <v>1.006639501867995</v>
      </c>
      <c r="L95" s="22">
        <f t="shared" si="49"/>
        <v>0.98866379647749514</v>
      </c>
      <c r="M95" s="57">
        <f t="shared" si="41"/>
        <v>0.9836158361473829</v>
      </c>
      <c r="N95" s="231">
        <v>10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42"/>
        <v>Small business -- see Data2</v>
      </c>
      <c r="B96" s="75">
        <f t="shared" si="43"/>
        <v>2.4159348044831876</v>
      </c>
      <c r="C96" s="75">
        <f t="shared" si="43"/>
        <v>2.4159348044831876</v>
      </c>
      <c r="D96" s="24">
        <f t="shared" si="44"/>
        <v>4.8318696089663753</v>
      </c>
      <c r="H96" s="24">
        <f t="shared" si="45"/>
        <v>0.9375</v>
      </c>
      <c r="I96" s="22">
        <f t="shared" si="46"/>
        <v>4.5298777584059771</v>
      </c>
      <c r="J96" s="24">
        <f t="shared" si="47"/>
        <v>2.2533744609921857</v>
      </c>
      <c r="K96" s="22">
        <f t="shared" si="48"/>
        <v>2.4159348044831876</v>
      </c>
      <c r="L96" s="22">
        <f t="shared" si="49"/>
        <v>2.2649388792029885</v>
      </c>
      <c r="M96" s="57">
        <f t="shared" si="41"/>
        <v>2.2533744609921857</v>
      </c>
      <c r="N96" s="231">
        <v>11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42"/>
        <v>Social Cash Transfers -- see Data2</v>
      </c>
      <c r="B97" s="75">
        <f t="shared" si="43"/>
        <v>1.3554273469930798</v>
      </c>
      <c r="C97" s="75">
        <f t="shared" si="43"/>
        <v>1.3554273469930798</v>
      </c>
      <c r="D97" s="24">
        <f t="shared" si="44"/>
        <v>2.7108546939861595</v>
      </c>
      <c r="H97" s="24">
        <f t="shared" si="45"/>
        <v>0.99107142857142871</v>
      </c>
      <c r="I97" s="22">
        <f t="shared" si="46"/>
        <v>2.6866506342184264</v>
      </c>
      <c r="J97" s="24">
        <f t="shared" si="47"/>
        <v>1.3364665113803467</v>
      </c>
      <c r="K97" s="22">
        <f t="shared" si="48"/>
        <v>1.3554273469930798</v>
      </c>
      <c r="L97" s="22">
        <f t="shared" si="49"/>
        <v>1.3433253171092132</v>
      </c>
      <c r="M97" s="57">
        <f t="shared" si="41"/>
        <v>1.3364665113803467</v>
      </c>
      <c r="N97" s="231">
        <v>14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42"/>
        <v>Public works -- see Data2</v>
      </c>
      <c r="B98" s="75">
        <f t="shared" si="43"/>
        <v>0</v>
      </c>
      <c r="C98" s="75">
        <f t="shared" si="43"/>
        <v>0</v>
      </c>
      <c r="D98" s="24">
        <f t="shared" si="44"/>
        <v>0</v>
      </c>
      <c r="H98" s="24">
        <f t="shared" si="45"/>
        <v>0.95535714285714279</v>
      </c>
      <c r="I98" s="22">
        <f t="shared" si="46"/>
        <v>0</v>
      </c>
      <c r="J98" s="24">
        <f t="shared" si="47"/>
        <v>0</v>
      </c>
      <c r="K98" s="22">
        <f t="shared" si="48"/>
        <v>0</v>
      </c>
      <c r="L98" s="22">
        <f t="shared" si="49"/>
        <v>0</v>
      </c>
      <c r="M98" s="57">
        <f t="shared" si="41"/>
        <v>0</v>
      </c>
      <c r="N98" s="231">
        <v>9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42"/>
        <v>Other income: e.g. Credit (cotton loans)</v>
      </c>
      <c r="B99" s="75">
        <f t="shared" si="43"/>
        <v>0</v>
      </c>
      <c r="C99" s="75">
        <f t="shared" si="43"/>
        <v>0</v>
      </c>
      <c r="D99" s="24">
        <f t="shared" si="44"/>
        <v>0</v>
      </c>
      <c r="H99" s="24">
        <f t="shared" si="45"/>
        <v>0.89285714285714279</v>
      </c>
      <c r="I99" s="22">
        <f t="shared" si="46"/>
        <v>0</v>
      </c>
      <c r="J99" s="24">
        <f t="shared" si="47"/>
        <v>0</v>
      </c>
      <c r="K99" s="22">
        <f t="shared" si="48"/>
        <v>0</v>
      </c>
      <c r="L99" s="22">
        <f t="shared" si="49"/>
        <v>0</v>
      </c>
      <c r="M99" s="57">
        <f t="shared" si="41"/>
        <v>0</v>
      </c>
      <c r="N99" s="231">
        <v>16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42"/>
        <v>Remittances: no. times per year</v>
      </c>
      <c r="B100" s="75">
        <f t="shared" si="43"/>
        <v>6.03983701120797</v>
      </c>
      <c r="C100" s="75">
        <f t="shared" si="43"/>
        <v>6.03983701120797</v>
      </c>
      <c r="D100" s="24">
        <f t="shared" si="44"/>
        <v>12.07967402241594</v>
      </c>
      <c r="H100" s="24">
        <f t="shared" si="45"/>
        <v>0.9375</v>
      </c>
      <c r="I100" s="22">
        <f t="shared" si="46"/>
        <v>11.324694396014944</v>
      </c>
      <c r="J100" s="24">
        <f t="shared" si="47"/>
        <v>5.6334361524804653</v>
      </c>
      <c r="K100" s="22">
        <f t="shared" si="48"/>
        <v>6.03983701120797</v>
      </c>
      <c r="L100" s="22">
        <f t="shared" si="49"/>
        <v>5.6623471980074722</v>
      </c>
      <c r="M100" s="57">
        <f t="shared" si="41"/>
        <v>5.6334361524804653</v>
      </c>
      <c r="N100" s="231">
        <v>15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">
        <v>33</v>
      </c>
      <c r="B101" s="22">
        <f>SUM(B78:B100)</f>
        <v>50.371221291700422</v>
      </c>
      <c r="C101" s="22">
        <f>SUM(C78:C100)</f>
        <v>50.371221291700422</v>
      </c>
      <c r="D101" s="24">
        <f>SUM(D78:D100)</f>
        <v>100.74244258340084</v>
      </c>
      <c r="E101" s="22"/>
      <c r="F101" s="2"/>
      <c r="G101" s="2"/>
      <c r="H101" s="31"/>
      <c r="I101" s="22">
        <f>SUM(I78:I100)</f>
        <v>95.834044632225883</v>
      </c>
      <c r="J101" s="24">
        <f>SUM(J78:J100)</f>
        <v>47.672365610111726</v>
      </c>
      <c r="K101" s="22">
        <f>SUM(K78:K100)</f>
        <v>50.371221291700422</v>
      </c>
      <c r="L101" s="22">
        <f>SUM(L78:L100)</f>
        <v>47.917022316112941</v>
      </c>
      <c r="M101" s="57">
        <f t="shared" si="41"/>
        <v>47.672365610111726</v>
      </c>
      <c r="N101" s="58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83"/>
      <c r="B102" s="83"/>
      <c r="C102" s="83"/>
      <c r="D102" s="10"/>
      <c r="E102" s="11"/>
      <c r="F102" s="11"/>
      <c r="G102" s="11"/>
      <c r="H102" s="10"/>
      <c r="I102" s="11"/>
      <c r="J102" s="62"/>
      <c r="K102" s="14"/>
      <c r="L102" s="11"/>
      <c r="M102" s="63"/>
      <c r="N102" s="58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>
      <c r="A103" s="73" t="str">
        <f>A54</f>
        <v>Expenditure : Better-off HHs</v>
      </c>
      <c r="B103" s="2"/>
      <c r="C103" s="2"/>
      <c r="D103" s="31"/>
      <c r="E103" s="2"/>
      <c r="F103" s="2"/>
      <c r="G103" s="2"/>
      <c r="H103" s="31"/>
      <c r="I103" s="22"/>
      <c r="J103" s="18"/>
      <c r="L103" s="2"/>
      <c r="M103" s="57"/>
      <c r="N103" s="58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2"/>
      <c r="AC103" s="2"/>
      <c r="AD103" s="2"/>
      <c r="AE103" s="2"/>
      <c r="AF103" s="2"/>
      <c r="AG103" s="2"/>
      <c r="AM103" s="21"/>
      <c r="AN103" s="21"/>
      <c r="AO103" s="21"/>
      <c r="AV103" s="21"/>
      <c r="AW103" s="21"/>
      <c r="AX103" s="21"/>
      <c r="BC103" s="21"/>
      <c r="BD103" s="21"/>
      <c r="BE103" s="21"/>
      <c r="BL103" s="21"/>
      <c r="BM103" s="21"/>
      <c r="BN103" s="21"/>
      <c r="BS103" s="21"/>
      <c r="BT103" s="21"/>
      <c r="BU103" s="21"/>
      <c r="CA103" s="21"/>
      <c r="CB103" s="21"/>
      <c r="CC103" s="21"/>
      <c r="CH103" s="21"/>
      <c r="CI103" s="21"/>
      <c r="CJ103" s="21"/>
    </row>
    <row r="104" spans="1:88" ht="14" customHeight="1">
      <c r="A104" s="84"/>
      <c r="B104" s="19" t="s">
        <v>7</v>
      </c>
      <c r="C104" s="2"/>
      <c r="D104" s="16"/>
      <c r="H104" s="16" t="s">
        <v>12</v>
      </c>
      <c r="I104" s="19" t="s">
        <v>13</v>
      </c>
      <c r="J104" s="16" t="s">
        <v>14</v>
      </c>
      <c r="K104" s="19" t="s">
        <v>7</v>
      </c>
      <c r="L104" s="19" t="s">
        <v>15</v>
      </c>
      <c r="M104" s="57" t="str">
        <f t="shared" ref="M104:M112" si="50">(J104)</f>
        <v>Curr.</v>
      </c>
      <c r="N104" s="58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">
        <v>46</v>
      </c>
      <c r="B105" s="19" t="s">
        <v>36</v>
      </c>
      <c r="C105" s="2"/>
      <c r="D105" s="31"/>
      <c r="H105" s="16" t="s">
        <v>18</v>
      </c>
      <c r="I105" s="19" t="s">
        <v>36</v>
      </c>
      <c r="J105" s="16" t="s">
        <v>36</v>
      </c>
      <c r="K105" s="19" t="s">
        <v>36</v>
      </c>
      <c r="L105" s="19" t="s">
        <v>20</v>
      </c>
      <c r="M105" s="57" t="str">
        <f t="shared" si="50"/>
        <v>Expend</v>
      </c>
      <c r="N105" s="5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2"/>
      <c r="AC105" s="2"/>
      <c r="AD105" s="2"/>
      <c r="AE105" s="2"/>
      <c r="AF105" s="2"/>
      <c r="AG105" s="2"/>
    </row>
    <row r="106" spans="1:88" ht="14" customHeight="1">
      <c r="A106" s="64" t="s">
        <v>135</v>
      </c>
      <c r="B106" s="75">
        <f>B57/B$70</f>
        <v>1.8842676655186641</v>
      </c>
      <c r="C106" s="2"/>
      <c r="D106" s="24"/>
      <c r="H106" s="24">
        <f>(E57*F57/G$29*F$7/F$9)</f>
        <v>1.0178571428571426</v>
      </c>
      <c r="I106" s="22">
        <f>IF(SUMPRODUCT($B$106:$B106,$H$106:$H106)&lt;I$101,($B106*$H106),I$101)</f>
        <v>1.9179153024029254</v>
      </c>
      <c r="J106" s="236">
        <f>IF(SUMPRODUCT($B$106:$B106,$H$106:$H106)&lt;J$101,($B106*$H106),J$101)</f>
        <v>1.9179153024029254</v>
      </c>
      <c r="K106" s="22">
        <f>(B106)</f>
        <v>1.8842676655186641</v>
      </c>
      <c r="L106" s="22">
        <f>IF(SUMPRODUCT($B$106:$B106,$H$106:$H106)&lt;L$101,($B106*$H106),L$101)</f>
        <v>1.9179153024029254</v>
      </c>
      <c r="M106" s="57">
        <f t="shared" si="50"/>
        <v>1.9179153024029254</v>
      </c>
      <c r="N106" s="58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2"/>
      <c r="AC106" s="2"/>
      <c r="AD106" s="2"/>
      <c r="AE106" s="2"/>
      <c r="AF106" s="2"/>
      <c r="AG106" s="2"/>
    </row>
    <row r="107" spans="1:88" ht="14" customHeight="1">
      <c r="A107" s="64" t="s">
        <v>137</v>
      </c>
      <c r="B107" s="75">
        <f>B58/B$70</f>
        <v>1.6335522138646743</v>
      </c>
      <c r="C107" s="2"/>
      <c r="D107" s="24"/>
      <c r="H107" s="24">
        <f>(E58*F58/G$29*F$7/F$9)</f>
        <v>0.99107142857142871</v>
      </c>
      <c r="I107" s="22">
        <f>IF(SUMPRODUCT($B$106:$B107,$H$106:$H107)&lt;I$101,($B107*$H107),IF(SUMPRODUCT($B$106:$B106,$H$106:$H106)&lt;I$101,I$101-SUMPRODUCT($B$106:$B106,$H$106:$H106),0))</f>
        <v>1.6189669262408828</v>
      </c>
      <c r="J107" s="236">
        <f>IF(SUMPRODUCT($B$106:$B107,$H$106:$H107)&lt;J$101,($B107*$H107),IF(SUMPRODUCT($B$106:$B106,$H$106:$H106)&lt;J$101,J$101-SUMPRODUCT($B$106:$B106,$H$106:$H106),0))</f>
        <v>1.6189669262408828</v>
      </c>
      <c r="K107" s="22">
        <f>(B107)</f>
        <v>1.6335522138646743</v>
      </c>
      <c r="L107" s="22">
        <f>IF(SUMPRODUCT($B$106:$B107,$H$106:$H107)&lt;L$101,($B107*$H107),IF(SUMPRODUCT($B$106:$B106,$H$106:$H106)&lt;L$101,L$101-SUMPRODUCT($B$106:$B106,$H$106:$H106),0))</f>
        <v>1.6189669262408828</v>
      </c>
      <c r="M107" s="57">
        <f t="shared" si="50"/>
        <v>1.6189669262408828</v>
      </c>
      <c r="N107" s="58"/>
      <c r="Q107" s="2"/>
      <c r="R107" s="22"/>
      <c r="S107" s="2"/>
      <c r="T107" s="2"/>
      <c r="U107" s="2"/>
      <c r="V107" s="2"/>
      <c r="W107" s="2"/>
      <c r="X107" s="2"/>
      <c r="Y107" s="2"/>
      <c r="Z107" s="2"/>
      <c r="AA107" s="2"/>
      <c r="AB107" s="22"/>
      <c r="AC107" s="2"/>
      <c r="AD107" s="2"/>
      <c r="AE107" s="2"/>
      <c r="AF107" s="2"/>
      <c r="AG107" s="2"/>
    </row>
    <row r="108" spans="1:88" ht="14" customHeight="1">
      <c r="A108" s="64" t="s">
        <v>138</v>
      </c>
      <c r="B108" s="75">
        <f t="shared" ref="B108:B109" si="51">B59/B$70</f>
        <v>2.9091881603985055</v>
      </c>
      <c r="C108" s="2"/>
      <c r="D108" s="24"/>
      <c r="H108" s="24">
        <f t="shared" ref="H108:H109" si="52">(E59*F59/G$29*F$7/F$9)</f>
        <v>0.99107142857142871</v>
      </c>
      <c r="I108" s="22">
        <f>IF(SUMPRODUCT($B$106:$B108,$H$106:$H108)&lt;(I$101-I$110),($B108*$H108),IF(SUMPRODUCT($B$106:$B107,$H$106:$H107)&lt;(I$101-I$110),I$101-I$110-SUMPRODUCT($B$106:$B107,$H$106:$H107),0))</f>
        <v>0</v>
      </c>
      <c r="J108" s="236">
        <f>IF(SUMPRODUCT($B$106:$B108,$H$106:$H108)&lt;(J$101-J$110),($B108*$H108),IF(SUMPRODUCT($B$106:$B107,$H$106:$H107)&lt;(J$101-J$110),J$101-J$110-SUMPRODUCT($B$106:$B107,$H$106:$H107),0))</f>
        <v>2.8832132661092333</v>
      </c>
      <c r="K108" s="22">
        <f t="shared" ref="K108:K109" si="53">(B108)</f>
        <v>2.9091881603985055</v>
      </c>
      <c r="L108" s="22">
        <f>IF(SUMPRODUCT($B$106:$B108,$H$106:$H108)&lt;(L$101-L$110),($B108*$H108),IF(SUMPRODUCT($B$106:$B107,$H$106:$H107)&lt;(L$101-L$110),L$101-L$110-SUMPRODUCT($B$106:$B107,$H$106:$H107),0))</f>
        <v>2.8832132661092333</v>
      </c>
      <c r="M108" s="57">
        <f t="shared" si="50"/>
        <v>2.8832132661092333</v>
      </c>
      <c r="N108" s="58"/>
      <c r="Q108" s="2"/>
      <c r="R108" s="22"/>
      <c r="S108" s="2"/>
      <c r="T108" s="2"/>
      <c r="U108" s="2"/>
      <c r="V108" s="2"/>
      <c r="W108" s="2"/>
      <c r="X108" s="2"/>
      <c r="Y108" s="2"/>
      <c r="Z108" s="2"/>
      <c r="AA108" s="2"/>
      <c r="AB108" s="22"/>
      <c r="AC108" s="2"/>
      <c r="AD108" s="2"/>
      <c r="AE108" s="2"/>
      <c r="AF108" s="2"/>
      <c r="AG108" s="2"/>
    </row>
    <row r="109" spans="1:88" ht="14" customHeight="1">
      <c r="A109" s="64" t="s">
        <v>139</v>
      </c>
      <c r="B109" s="75">
        <f t="shared" si="51"/>
        <v>7.2251550246575338</v>
      </c>
      <c r="C109" s="2"/>
      <c r="D109" s="24"/>
      <c r="H109" s="24">
        <f t="shared" si="52"/>
        <v>0.99107142857142871</v>
      </c>
      <c r="I109" s="22">
        <f>IF(SUMPRODUCT($B$106:$B109,$H$106:$H109)&lt;(I$101-I$110),($B109*$H109),IF(SUMPRODUCT($B$106:$B108,$H$106:$H108)&lt;(I$101-I110),I$101-I$110-SUMPRODUCT($B$106:$B108,$H$106:$H108),0))</f>
        <v>0</v>
      </c>
      <c r="J109" s="236">
        <f>IF(SUMPRODUCT($B$106:$B109,$H$106:$H109)&lt;(J$101-J$110),($B109*$H109),IF(SUMPRODUCT($B$106:$B108,$H$106:$H108)&lt;(J$101-J110),J$101-J$110-SUMPRODUCT($B$106:$B108,$H$106:$H108),0))</f>
        <v>7.1606447119373779</v>
      </c>
      <c r="K109" s="22">
        <f t="shared" si="53"/>
        <v>7.2251550246575338</v>
      </c>
      <c r="L109" s="22">
        <f>IF(SUMPRODUCT($B$106:$B109,$H$106:$H109)&lt;(L$101-L$110),($B109*$H109),IF(SUMPRODUCT($B$106:$B108,$H$106:$H108)&lt;(L$101-L110),L$101-L$110-SUMPRODUCT($B$106:$B108,$H$106:$H108),0))</f>
        <v>7.1606447119373779</v>
      </c>
      <c r="M109" s="57">
        <f t="shared" si="50"/>
        <v>7.1606447119373779</v>
      </c>
      <c r="N109" s="58"/>
      <c r="Q109" s="2"/>
      <c r="R109" s="22"/>
      <c r="S109" s="2"/>
      <c r="T109" s="2"/>
      <c r="U109" s="2"/>
      <c r="V109" s="2"/>
      <c r="W109" s="2"/>
      <c r="X109" s="2"/>
      <c r="Y109" s="2"/>
      <c r="Z109" s="2"/>
      <c r="AA109" s="2"/>
      <c r="AB109" s="22"/>
      <c r="AC109" s="2"/>
      <c r="AD109" s="2"/>
      <c r="AE109" s="2"/>
      <c r="AF109" s="2"/>
      <c r="AG109" s="2"/>
    </row>
    <row r="110" spans="1:88" ht="14" customHeight="1">
      <c r="A110" s="56" t="s">
        <v>37</v>
      </c>
      <c r="B110" s="22">
        <f>(B22)</f>
        <v>0.50976766625155667</v>
      </c>
      <c r="C110" s="2"/>
      <c r="D110" s="31"/>
      <c r="E110" s="2"/>
      <c r="F110" s="2"/>
      <c r="G110" s="2"/>
      <c r="H110" s="24"/>
      <c r="I110" s="22">
        <f>(I22)</f>
        <v>93.916129329822951</v>
      </c>
      <c r="J110" s="237">
        <f>(J22)</f>
        <v>0.51285877665987156</v>
      </c>
      <c r="K110" s="22">
        <f>(B110)</f>
        <v>0.50976766625155667</v>
      </c>
      <c r="L110" s="22">
        <f>IF(L106=L101,0,(L101-L106)/(B101-B106)*K110)</f>
        <v>0.48361168682234479</v>
      </c>
      <c r="M110" s="57">
        <f t="shared" si="50"/>
        <v>0.51285877665987156</v>
      </c>
      <c r="N110" s="5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2"/>
      <c r="AC110" s="2"/>
      <c r="AD110" s="2"/>
      <c r="AE110" s="2"/>
      <c r="AF110" s="2"/>
      <c r="AG110" s="2"/>
    </row>
    <row r="111" spans="1:88" ht="14" customHeight="1">
      <c r="A111" s="56" t="s">
        <v>57</v>
      </c>
      <c r="B111" s="29">
        <f>(B112-B106-B107-B108-B109-B110)</f>
        <v>36.209290561009489</v>
      </c>
      <c r="C111" s="2"/>
      <c r="D111" s="31"/>
      <c r="E111" s="2"/>
      <c r="F111" s="2"/>
      <c r="G111" s="2"/>
      <c r="H111" s="24"/>
      <c r="I111" s="22"/>
      <c r="J111" s="237">
        <f>(J112-J106-J107-J108-J109-J110)</f>
        <v>33.578766626761443</v>
      </c>
      <c r="K111" s="22">
        <f>(B111)</f>
        <v>36.209290561009489</v>
      </c>
      <c r="L111" s="75">
        <f>(L112-L106-L107-L108-L109-L110)</f>
        <v>33.852670422600184</v>
      </c>
      <c r="M111" s="57">
        <f t="shared" si="50"/>
        <v>33.578766626761443</v>
      </c>
      <c r="N111" s="5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2"/>
      <c r="AC111" s="2"/>
      <c r="AD111" s="2"/>
      <c r="AE111" s="2"/>
      <c r="AF111" s="2"/>
      <c r="AG111" s="2"/>
    </row>
    <row r="112" spans="1:88" ht="14" customHeight="1">
      <c r="A112" s="2" t="s">
        <v>33</v>
      </c>
      <c r="B112" s="22">
        <f>(B101)</f>
        <v>50.371221291700422</v>
      </c>
      <c r="C112" s="2"/>
      <c r="D112" s="31"/>
      <c r="E112" s="2"/>
      <c r="F112" s="2"/>
      <c r="G112" s="2"/>
      <c r="H112" s="24"/>
      <c r="I112" s="22">
        <f>(I101)</f>
        <v>95.834044632225883</v>
      </c>
      <c r="J112" s="237">
        <f>(J101)</f>
        <v>47.672365610111726</v>
      </c>
      <c r="K112" s="22">
        <f>(B112)</f>
        <v>50.371221291700422</v>
      </c>
      <c r="L112" s="22">
        <f>(L101)</f>
        <v>47.917022316112941</v>
      </c>
      <c r="M112" s="57">
        <f t="shared" si="50"/>
        <v>47.672365610111726</v>
      </c>
      <c r="N112" s="5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2"/>
      <c r="AC112" s="2"/>
      <c r="AD112" s="2"/>
      <c r="AE112" s="2"/>
      <c r="AF112" s="2"/>
      <c r="AG112" s="2"/>
    </row>
    <row r="113" spans="1:33" ht="14" customHeight="1">
      <c r="A113" s="2" t="s">
        <v>38</v>
      </c>
      <c r="B113" s="22"/>
      <c r="C113" s="2"/>
      <c r="D113" s="31"/>
      <c r="E113" s="2"/>
      <c r="F113" s="2"/>
      <c r="G113" s="2"/>
      <c r="H113" s="24"/>
      <c r="I113" s="22">
        <f>IF(SUMPRODUCT($B106:$B109,$H106:$H109)&gt;(I101-I110),SUMPRODUCT($B106:$B109,$H106:$H109)+I110-I101,0)</f>
        <v>11.66282490428749</v>
      </c>
      <c r="J113" s="236">
        <f>IF(SUMPRODUCT($B106:$B109,$H106:$H109)&gt;(J101-J110),SUMPRODUCT($B106:$B109,$H106:$H109)+J110-J101,0)</f>
        <v>0</v>
      </c>
      <c r="K113" s="22"/>
      <c r="L113" s="22">
        <f>I113-(SUM(L108:L109))</f>
        <v>1.6189669262408781</v>
      </c>
      <c r="M113" s="236">
        <f>I113-(SUM(M108:M109))</f>
        <v>1.6189669262408781</v>
      </c>
      <c r="N113" s="5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2"/>
      <c r="AC113" s="2"/>
      <c r="AD113" s="2"/>
      <c r="AE113" s="2"/>
      <c r="AF113" s="2"/>
      <c r="AG113" s="2"/>
    </row>
    <row r="114" spans="1:33" ht="14" customHeight="1">
      <c r="A114" s="14"/>
      <c r="B114" s="14"/>
      <c r="C114" s="14"/>
      <c r="D114" s="12"/>
      <c r="E114" s="14"/>
      <c r="F114" s="14"/>
      <c r="G114" s="14"/>
      <c r="H114" s="12"/>
      <c r="I114" s="14"/>
      <c r="J114" s="12"/>
      <c r="K114" s="14"/>
      <c r="L114" s="14"/>
      <c r="M114" s="66"/>
      <c r="N114" s="58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L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B125" s="22"/>
      <c r="C125" s="22"/>
      <c r="D125" s="2"/>
      <c r="E125" s="2"/>
      <c r="F125" s="2"/>
      <c r="G125" s="2"/>
      <c r="H125" s="2"/>
      <c r="I125" s="22"/>
      <c r="J125" s="2"/>
      <c r="L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68"/>
      <c r="AC125" s="2"/>
      <c r="AD125" s="2"/>
      <c r="AE125" s="2"/>
      <c r="AF125" s="2"/>
      <c r="AG125" s="2"/>
    </row>
    <row r="126" spans="1:33">
      <c r="B126" s="22"/>
      <c r="C126" s="22"/>
      <c r="D126" s="2"/>
      <c r="E126" s="2"/>
      <c r="F126" s="2"/>
      <c r="G126" s="2"/>
      <c r="H126" s="2"/>
      <c r="I126" s="2"/>
      <c r="J126" s="2"/>
      <c r="L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68"/>
      <c r="AC126" s="2"/>
      <c r="AD126" s="2"/>
      <c r="AE126" s="2"/>
      <c r="AF126" s="2"/>
      <c r="AG126" s="2"/>
    </row>
    <row r="127" spans="1:33">
      <c r="B127" s="22"/>
      <c r="C127" s="22"/>
      <c r="D127" s="2"/>
      <c r="E127" s="2"/>
      <c r="F127" s="2"/>
      <c r="G127" s="2"/>
      <c r="H127" s="2"/>
      <c r="I127" s="22"/>
      <c r="J127" s="2"/>
      <c r="L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68"/>
      <c r="AC127" s="2"/>
      <c r="AD127" s="2"/>
      <c r="AE127" s="2"/>
      <c r="AF127" s="2"/>
      <c r="AG127" s="2"/>
    </row>
    <row r="128" spans="1:33">
      <c r="B128" s="2"/>
      <c r="C128" s="2"/>
      <c r="D128" s="2"/>
      <c r="E128" s="2"/>
      <c r="F128" s="2"/>
      <c r="G128" s="2"/>
      <c r="H128" s="2"/>
      <c r="I128" s="2"/>
      <c r="J128" s="2"/>
      <c r="L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68"/>
      <c r="AC128" s="2"/>
      <c r="AD128" s="2"/>
      <c r="AE128" s="2"/>
      <c r="AF128" s="2"/>
      <c r="AG128" s="2"/>
    </row>
    <row r="129" spans="1:33">
      <c r="B129" s="22"/>
      <c r="C129" s="22"/>
      <c r="D129" s="2"/>
      <c r="E129" s="2"/>
      <c r="F129" s="2"/>
      <c r="G129" s="2"/>
      <c r="H129" s="2"/>
      <c r="I129" s="2"/>
      <c r="J129" s="2"/>
      <c r="L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68"/>
      <c r="AC129" s="2"/>
      <c r="AD129" s="2"/>
      <c r="AE129" s="2"/>
      <c r="AF129" s="2"/>
      <c r="AG129" s="2"/>
    </row>
    <row r="130" spans="1:33">
      <c r="B130" s="22"/>
      <c r="C130" s="22"/>
      <c r="D130" s="2"/>
      <c r="E130" s="2"/>
      <c r="F130" s="2"/>
      <c r="G130" s="2"/>
      <c r="H130" s="2"/>
      <c r="I130" s="2"/>
      <c r="J130" s="2"/>
      <c r="L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68"/>
      <c r="AC130" s="2"/>
      <c r="AD130" s="2"/>
      <c r="AE130" s="2"/>
      <c r="AF130" s="2"/>
      <c r="AG130" s="2"/>
    </row>
    <row r="131" spans="1:33">
      <c r="B131" s="22"/>
      <c r="C131" s="22"/>
      <c r="D131" s="2"/>
      <c r="E131" s="2"/>
      <c r="F131" s="2"/>
      <c r="G131" s="2"/>
      <c r="H131" s="2"/>
      <c r="I131" s="2"/>
      <c r="J131" s="2"/>
      <c r="L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68"/>
      <c r="AC131" s="2"/>
      <c r="AD131" s="2"/>
      <c r="AE131" s="2"/>
      <c r="AF131" s="2"/>
      <c r="AG131" s="2"/>
    </row>
    <row r="132" spans="1:33">
      <c r="B132" s="22"/>
      <c r="C132" s="22"/>
      <c r="D132" s="2"/>
      <c r="E132" s="2"/>
      <c r="F132" s="2"/>
      <c r="G132" s="2"/>
      <c r="H132" s="2"/>
      <c r="I132" s="2"/>
      <c r="J132" s="2"/>
      <c r="L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68"/>
      <c r="AC132" s="2"/>
      <c r="AD132" s="2"/>
      <c r="AE132" s="2"/>
      <c r="AF132" s="2"/>
      <c r="AG132" s="2"/>
    </row>
    <row r="133" spans="1:33">
      <c r="B133" s="22"/>
      <c r="C133" s="22"/>
      <c r="D133" s="2"/>
      <c r="E133" s="2"/>
      <c r="F133" s="2"/>
      <c r="G133" s="2"/>
      <c r="H133" s="2"/>
      <c r="I133" s="2"/>
      <c r="J133" s="2"/>
      <c r="L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68"/>
      <c r="AC133" s="2"/>
      <c r="AD133" s="2"/>
      <c r="AE133" s="2"/>
      <c r="AF133" s="2"/>
      <c r="AG133" s="2"/>
    </row>
    <row r="134" spans="1:33">
      <c r="B134" s="22"/>
      <c r="C134" s="22"/>
      <c r="D134" s="2"/>
      <c r="E134" s="2"/>
      <c r="F134" s="2"/>
      <c r="G134" s="2"/>
      <c r="H134" s="2"/>
      <c r="I134" s="2"/>
      <c r="J134" s="2"/>
      <c r="L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68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L135" s="2"/>
      <c r="O135" s="2"/>
      <c r="P135" s="2"/>
      <c r="Q135" s="2"/>
      <c r="R135" s="2"/>
      <c r="S135" s="2"/>
      <c r="T135" s="2"/>
      <c r="U135" s="2"/>
      <c r="V135" s="2"/>
      <c r="W135" s="69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3"/>
      <c r="B136" s="2"/>
      <c r="C136" s="2"/>
      <c r="D136" s="2"/>
      <c r="E136" s="2"/>
      <c r="F136" s="2"/>
      <c r="H136" s="2"/>
      <c r="I136" s="2"/>
      <c r="J136" s="2"/>
      <c r="L136" s="2"/>
      <c r="W136" s="71"/>
    </row>
    <row r="137" spans="1:33">
      <c r="A137" s="2"/>
      <c r="B137" s="2"/>
      <c r="C137" s="2"/>
      <c r="D137" s="2"/>
      <c r="E137" s="2"/>
      <c r="F137" s="2"/>
      <c r="H137" s="2"/>
      <c r="I137" s="2"/>
      <c r="J137" s="2"/>
      <c r="L137" s="2"/>
      <c r="W137" s="71"/>
    </row>
    <row r="138" spans="1:33">
      <c r="A138" s="2"/>
      <c r="B138" s="2"/>
      <c r="C138" s="2"/>
      <c r="D138" s="2"/>
      <c r="E138" s="2"/>
      <c r="F138" s="2"/>
      <c r="H138" s="2"/>
      <c r="I138" s="2"/>
      <c r="J138" s="2"/>
      <c r="L138" s="2"/>
      <c r="W138" s="71"/>
    </row>
    <row r="139" spans="1:33">
      <c r="A139" s="22"/>
      <c r="B139" s="2"/>
      <c r="C139" s="2"/>
      <c r="D139" s="2"/>
      <c r="E139" s="2"/>
      <c r="F139" s="2"/>
      <c r="H139" s="2"/>
      <c r="I139" s="2"/>
      <c r="J139" s="2"/>
      <c r="L139" s="2"/>
      <c r="W139" s="71"/>
    </row>
    <row r="140" spans="1:33">
      <c r="A140" s="2"/>
      <c r="B140" s="2"/>
      <c r="C140" s="2"/>
      <c r="D140" s="2"/>
      <c r="E140" s="2"/>
      <c r="F140" s="2"/>
      <c r="H140" s="2"/>
      <c r="I140" s="2"/>
      <c r="J140" s="2"/>
      <c r="L140" s="2"/>
      <c r="W140" s="71"/>
    </row>
    <row r="141" spans="1:33">
      <c r="A141" s="2"/>
      <c r="B141" s="2"/>
      <c r="C141" s="2"/>
      <c r="D141" s="2"/>
      <c r="E141" s="2"/>
      <c r="F141" s="2"/>
      <c r="H141" s="2"/>
      <c r="I141" s="2"/>
      <c r="J141" s="2"/>
      <c r="L141" s="2"/>
    </row>
    <row r="142" spans="1:33">
      <c r="A142" s="2"/>
      <c r="B142" s="2"/>
      <c r="C142" s="2"/>
      <c r="D142" s="2"/>
      <c r="E142" s="2"/>
      <c r="F142" s="2"/>
      <c r="H142" s="2"/>
      <c r="I142" s="2"/>
      <c r="J142" s="2"/>
      <c r="L142" s="2"/>
    </row>
    <row r="143" spans="1:33">
      <c r="A143" s="2"/>
      <c r="B143" s="2"/>
      <c r="C143" s="2"/>
      <c r="D143" s="2"/>
      <c r="E143" s="2"/>
      <c r="F143" s="2"/>
      <c r="H143" s="2"/>
      <c r="I143" s="2"/>
      <c r="J143" s="2"/>
      <c r="L143" s="2"/>
      <c r="AB143" s="71"/>
    </row>
    <row r="144" spans="1:33">
      <c r="A144" s="2"/>
      <c r="B144" s="2"/>
      <c r="C144" s="2"/>
      <c r="D144" s="2"/>
      <c r="E144" s="2"/>
      <c r="F144" s="2"/>
      <c r="H144" s="2"/>
      <c r="I144" s="2"/>
      <c r="J144" s="2"/>
      <c r="L144" s="2"/>
      <c r="AB144" s="71"/>
    </row>
    <row r="145" spans="1:28">
      <c r="A145" s="2"/>
      <c r="B145" s="2"/>
      <c r="C145" s="2"/>
      <c r="D145" s="2"/>
      <c r="E145" s="2"/>
      <c r="F145" s="2"/>
      <c r="H145" s="2"/>
      <c r="I145" s="2"/>
      <c r="J145" s="2"/>
      <c r="L145" s="2"/>
      <c r="AB145" s="71"/>
    </row>
    <row r="146" spans="1:28">
      <c r="A146" s="2"/>
      <c r="B146" s="2"/>
      <c r="C146" s="2"/>
      <c r="D146" s="2"/>
      <c r="E146" s="2"/>
      <c r="F146" s="2"/>
      <c r="H146" s="2"/>
      <c r="I146" s="2"/>
      <c r="J146" s="2"/>
      <c r="L146" s="2"/>
      <c r="AB146" s="71"/>
    </row>
    <row r="147" spans="1:28">
      <c r="A147" s="2"/>
      <c r="B147" s="2"/>
      <c r="C147" s="2"/>
      <c r="D147" s="2"/>
      <c r="E147" s="2"/>
      <c r="F147" s="2"/>
      <c r="H147" s="2"/>
      <c r="I147" s="2"/>
      <c r="J147" s="2"/>
      <c r="L147" s="2"/>
      <c r="W147" s="72"/>
      <c r="AB147" s="71"/>
    </row>
    <row r="148" spans="1:28">
      <c r="A148" s="2"/>
      <c r="B148" s="2"/>
      <c r="C148" s="2"/>
      <c r="D148" s="2"/>
      <c r="E148" s="2"/>
      <c r="F148" s="2"/>
      <c r="H148" s="2"/>
      <c r="I148" s="2"/>
      <c r="J148" s="2"/>
      <c r="L148" s="2"/>
      <c r="W148" s="72"/>
      <c r="AB148" s="71"/>
    </row>
    <row r="149" spans="1:28">
      <c r="A149" s="2"/>
      <c r="B149" s="2"/>
      <c r="C149" s="2"/>
      <c r="D149" s="2"/>
      <c r="E149" s="2"/>
      <c r="F149" s="2"/>
      <c r="H149" s="2"/>
      <c r="I149" s="2"/>
      <c r="J149" s="2"/>
      <c r="L149" s="2"/>
      <c r="AB149" s="71"/>
    </row>
    <row r="150" spans="1:28">
      <c r="A150" s="2"/>
      <c r="B150" s="2"/>
      <c r="C150" s="2"/>
      <c r="D150" s="2"/>
      <c r="E150" s="2"/>
      <c r="F150" s="2"/>
      <c r="H150" s="2"/>
      <c r="I150" s="2"/>
      <c r="J150" s="2"/>
      <c r="L150" s="2"/>
      <c r="AB150" s="71"/>
    </row>
    <row r="151" spans="1:28">
      <c r="A151" s="2"/>
      <c r="B151" s="2"/>
      <c r="C151" s="2"/>
      <c r="D151" s="2"/>
      <c r="E151" s="2"/>
      <c r="F151" s="2"/>
      <c r="H151" s="2"/>
      <c r="I151" s="2"/>
      <c r="J151" s="2"/>
      <c r="L151" s="2"/>
      <c r="AB151" s="71"/>
    </row>
    <row r="152" spans="1:28">
      <c r="A152" s="2"/>
      <c r="B152" s="2"/>
      <c r="C152" s="2"/>
      <c r="D152" s="2"/>
      <c r="E152" s="2"/>
      <c r="F152" s="2"/>
      <c r="H152" s="2"/>
      <c r="I152" s="2"/>
      <c r="J152" s="2"/>
      <c r="L152" s="2"/>
    </row>
    <row r="153" spans="1:28">
      <c r="A153" s="2"/>
      <c r="B153" s="2"/>
      <c r="C153" s="2"/>
      <c r="D153" s="2"/>
      <c r="E153" s="2"/>
      <c r="F153" s="2"/>
      <c r="H153" s="2"/>
      <c r="I153" s="2"/>
      <c r="J153" s="2"/>
      <c r="L153" s="2"/>
      <c r="W153" s="72"/>
      <c r="AB153" s="71"/>
    </row>
    <row r="154" spans="1:28">
      <c r="A154" s="2"/>
      <c r="B154" s="2"/>
      <c r="C154" s="2"/>
      <c r="D154" s="2"/>
      <c r="E154" s="2"/>
      <c r="F154" s="2"/>
      <c r="H154" s="2"/>
      <c r="I154" s="2"/>
      <c r="J154" s="2"/>
      <c r="L154" s="2"/>
      <c r="W154" s="72"/>
    </row>
    <row r="155" spans="1:28">
      <c r="A155" s="2"/>
      <c r="B155" s="2"/>
      <c r="C155" s="2"/>
      <c r="D155" s="2"/>
      <c r="E155" s="2"/>
      <c r="F155" s="2"/>
      <c r="H155" s="2"/>
      <c r="I155" s="2"/>
      <c r="J155" s="2"/>
      <c r="L155" s="2"/>
    </row>
    <row r="156" spans="1:28">
      <c r="A156" s="2"/>
      <c r="B156" s="2"/>
      <c r="C156" s="2"/>
      <c r="D156" s="2"/>
      <c r="E156" s="2"/>
      <c r="F156" s="2"/>
      <c r="H156" s="2"/>
      <c r="I156" s="2"/>
      <c r="J156" s="2"/>
      <c r="L156" s="2"/>
    </row>
    <row r="157" spans="1:28">
      <c r="A157" s="2"/>
      <c r="B157" s="2"/>
      <c r="C157" s="2"/>
      <c r="D157" s="2"/>
      <c r="E157" s="2"/>
      <c r="F157" s="2"/>
      <c r="H157" s="2"/>
      <c r="I157" s="2"/>
      <c r="J157" s="2"/>
      <c r="L157" s="2"/>
      <c r="AB157" s="71"/>
    </row>
    <row r="158" spans="1:28">
      <c r="A158" s="2"/>
      <c r="B158" s="2"/>
      <c r="C158" s="2"/>
      <c r="D158" s="2"/>
      <c r="E158" s="2"/>
      <c r="F158" s="2"/>
      <c r="H158" s="2"/>
      <c r="I158" s="2"/>
      <c r="J158" s="2"/>
      <c r="L158" s="2"/>
      <c r="AB158" s="71"/>
    </row>
    <row r="159" spans="1:28">
      <c r="A159" s="2"/>
      <c r="B159" s="2"/>
      <c r="C159" s="2"/>
      <c r="D159" s="2"/>
      <c r="E159" s="2"/>
      <c r="F159" s="2"/>
      <c r="H159" s="2"/>
      <c r="I159" s="2"/>
      <c r="J159" s="2"/>
      <c r="L159" s="2"/>
      <c r="W159" s="72"/>
      <c r="AB159" s="71"/>
    </row>
    <row r="160" spans="1:28">
      <c r="A160" s="2"/>
      <c r="B160" s="2"/>
      <c r="C160" s="2"/>
      <c r="D160" s="2"/>
      <c r="E160" s="2"/>
      <c r="F160" s="2"/>
      <c r="H160" s="2"/>
      <c r="I160" s="2"/>
      <c r="J160" s="2"/>
      <c r="L160" s="2"/>
      <c r="W160" s="72"/>
      <c r="AB160" s="71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</row>
    <row r="167" spans="1:28">
      <c r="AB167" s="71"/>
    </row>
    <row r="168" spans="1:28">
      <c r="AB168" s="71"/>
    </row>
    <row r="169" spans="1:28">
      <c r="AB169" s="71"/>
    </row>
    <row r="170" spans="1:28">
      <c r="AB170" s="71"/>
    </row>
    <row r="171" spans="1:28">
      <c r="W171" s="72"/>
      <c r="AB171" s="71"/>
    </row>
    <row r="172" spans="1:28">
      <c r="W172" s="72"/>
      <c r="AB172" s="71"/>
    </row>
    <row r="173" spans="1:28">
      <c r="W173" s="72"/>
    </row>
    <row r="175" spans="1:28">
      <c r="AB175" s="71"/>
    </row>
    <row r="176" spans="1:28">
      <c r="AB176" s="71"/>
    </row>
    <row r="177" spans="23:28">
      <c r="AB177" s="71"/>
    </row>
    <row r="178" spans="23:28">
      <c r="AB178" s="71"/>
    </row>
    <row r="179" spans="23:28">
      <c r="AB179" s="71"/>
    </row>
    <row r="180" spans="23:28">
      <c r="W180" s="72"/>
      <c r="AB180" s="71"/>
    </row>
    <row r="181" spans="23:28">
      <c r="W181" s="72"/>
    </row>
    <row r="182" spans="23:28">
      <c r="W182" s="72"/>
    </row>
    <row r="189" spans="23:28">
      <c r="W189" s="72"/>
    </row>
    <row r="190" spans="23:28">
      <c r="W190" s="72"/>
    </row>
    <row r="191" spans="23:28">
      <c r="W191" s="72"/>
    </row>
    <row r="201" spans="23:23">
      <c r="W201" s="72"/>
    </row>
    <row r="202" spans="23:23">
      <c r="W202" s="72"/>
    </row>
    <row r="203" spans="23:23">
      <c r="W203" s="72"/>
    </row>
    <row r="210" spans="23:23">
      <c r="W210" s="72"/>
    </row>
    <row r="211" spans="23:23">
      <c r="W211" s="72"/>
    </row>
    <row r="212" spans="23:23">
      <c r="W212" s="72"/>
    </row>
    <row r="219" spans="23:23">
      <c r="W219" s="72"/>
    </row>
    <row r="220" spans="23:23">
      <c r="W220" s="72"/>
    </row>
    <row r="221" spans="23:23">
      <c r="W221" s="72"/>
    </row>
    <row r="231" spans="23:23">
      <c r="W231" s="72"/>
    </row>
    <row r="232" spans="23:23">
      <c r="W232" s="72"/>
    </row>
    <row r="233" spans="23:23">
      <c r="W233" s="72"/>
    </row>
    <row r="240" spans="23:23">
      <c r="W240" s="72"/>
    </row>
    <row r="241" spans="23:23">
      <c r="W241" s="72"/>
    </row>
    <row r="242" spans="23:23">
      <c r="W242" s="72"/>
    </row>
    <row r="249" spans="23:23">
      <c r="W249" s="72"/>
    </row>
    <row r="250" spans="23:23">
      <c r="W250" s="72"/>
    </row>
    <row r="251" spans="23:23">
      <c r="W251" s="72"/>
    </row>
  </sheetData>
  <sheetProtection sheet="1" objects="1" scenarios="1" formatCells="0" formatColumns="0" formatRow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19" val="1" numFmtId="9"/>
      <inputCells r="E20" val="1" numFmtId="9"/>
      <inputCells r="E21" val="1" numFmtId="9"/>
      <inputCells r="E32" val="1" numFmtId="9"/>
      <inputCells r="E36" val="1" numFmtId="9"/>
      <inputCells r="E37" val="1" numFmtId="9"/>
      <inputCells r="E38" val="1" numFmtId="9"/>
      <inputCells r="E51" val="1" numFmtId="9"/>
      <inputCells r="F30" val="1" numFmtId="9"/>
      <inputCells r="F31" val="2" numFmtId="9"/>
      <inputCells r="F32" val="1.25" numFmtId="9"/>
      <inputCells r="F36" val="1" numFmtId="9"/>
      <inputCells r="F37" val="0.4" numFmtId="9"/>
      <inputCells r="F38" val="1" numFmtId="9"/>
      <inputCells r="F51" val="1" numFmtId="9"/>
      <inputCells r="F29" val="2.5" numFmtId="9"/>
      <inputCells r="G29" val="2" numFmtId="9"/>
      <inputCells r="F57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19" val="1" numFmtId="9"/>
      <inputCells r="E20" val="1" numFmtId="9"/>
      <inputCells r="E21" val="1" numFmtId="9"/>
      <inputCells r="E32" val="1" numFmtId="9"/>
      <inputCells r="E36" val="1" numFmtId="9"/>
      <inputCells r="E37" val="1" numFmtId="9"/>
      <inputCells r="E38" val="1" numFmtId="9"/>
      <inputCells r="E51" val="1" numFmtId="9"/>
      <inputCells r="F29" val="1" numFmtId="9"/>
      <inputCells r="F30" val="1" numFmtId="9"/>
      <inputCells r="F31" val="1" numFmtId="9"/>
      <inputCells r="F32" val="1" numFmtId="9"/>
      <inputCells r="F36" val="1" numFmtId="9"/>
      <inputCells r="F37" val="1" numFmtId="9"/>
      <inputCells r="F38" val="1" numFmtId="9"/>
      <inputCells r="F51" val="1" numFmtId="9"/>
      <inputCells r="G29" val="1" numFmtId="9"/>
      <inputCells r="F57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95" priority="113" operator="equal">
      <formula>16</formula>
    </cfRule>
    <cfRule type="cellIs" dxfId="94" priority="114" operator="equal">
      <formula>15</formula>
    </cfRule>
    <cfRule type="cellIs" dxfId="93" priority="115" operator="equal">
      <formula>14</formula>
    </cfRule>
    <cfRule type="cellIs" dxfId="92" priority="116" operator="equal">
      <formula>13</formula>
    </cfRule>
    <cfRule type="cellIs" dxfId="91" priority="117" operator="equal">
      <formula>12</formula>
    </cfRule>
    <cfRule type="cellIs" dxfId="90" priority="118" operator="equal">
      <formula>11</formula>
    </cfRule>
    <cfRule type="cellIs" dxfId="89" priority="119" operator="equal">
      <formula>10</formula>
    </cfRule>
    <cfRule type="cellIs" dxfId="88" priority="120" operator="equal">
      <formula>9</formula>
    </cfRule>
    <cfRule type="cellIs" dxfId="87" priority="121" operator="equal">
      <formula>8</formula>
    </cfRule>
    <cfRule type="cellIs" dxfId="86" priority="122" operator="equal">
      <formula>7</formula>
    </cfRule>
    <cfRule type="cellIs" dxfId="85" priority="123" operator="equal">
      <formula>6</formula>
    </cfRule>
    <cfRule type="cellIs" dxfId="84" priority="124" operator="equal">
      <formula>5</formula>
    </cfRule>
    <cfRule type="cellIs" dxfId="83" priority="125" operator="equal">
      <formula>4</formula>
    </cfRule>
    <cfRule type="cellIs" dxfId="82" priority="126" operator="equal">
      <formula>3</formula>
    </cfRule>
    <cfRule type="cellIs" dxfId="81" priority="127" operator="equal">
      <formula>2</formula>
    </cfRule>
    <cfRule type="cellIs" dxfId="80" priority="128" operator="equal">
      <formula>1</formula>
    </cfRule>
  </conditionalFormatting>
  <conditionalFormatting sqref="N21">
    <cfRule type="cellIs" dxfId="79" priority="97" operator="equal">
      <formula>16</formula>
    </cfRule>
    <cfRule type="cellIs" dxfId="78" priority="98" operator="equal">
      <formula>15</formula>
    </cfRule>
    <cfRule type="cellIs" dxfId="77" priority="99" operator="equal">
      <formula>14</formula>
    </cfRule>
    <cfRule type="cellIs" dxfId="76" priority="100" operator="equal">
      <formula>13</formula>
    </cfRule>
    <cfRule type="cellIs" dxfId="75" priority="101" operator="equal">
      <formula>12</formula>
    </cfRule>
    <cfRule type="cellIs" dxfId="74" priority="102" operator="equal">
      <formula>11</formula>
    </cfRule>
    <cfRule type="cellIs" dxfId="73" priority="103" operator="equal">
      <formula>10</formula>
    </cfRule>
    <cfRule type="cellIs" dxfId="72" priority="104" operator="equal">
      <formula>9</formula>
    </cfRule>
    <cfRule type="cellIs" dxfId="71" priority="105" operator="equal">
      <formula>8</formula>
    </cfRule>
    <cfRule type="cellIs" dxfId="70" priority="106" operator="equal">
      <formula>7</formula>
    </cfRule>
    <cfRule type="cellIs" dxfId="69" priority="107" operator="equal">
      <formula>6</formula>
    </cfRule>
    <cfRule type="cellIs" dxfId="68" priority="108" operator="equal">
      <formula>5</formula>
    </cfRule>
    <cfRule type="cellIs" dxfId="67" priority="109" operator="equal">
      <formula>4</formula>
    </cfRule>
    <cfRule type="cellIs" dxfId="66" priority="110" operator="equal">
      <formula>3</formula>
    </cfRule>
    <cfRule type="cellIs" dxfId="65" priority="111" operator="equal">
      <formula>2</formula>
    </cfRule>
    <cfRule type="cellIs" dxfId="64" priority="112" operator="equal">
      <formula>1</formula>
    </cfRule>
  </conditionalFormatting>
  <conditionalFormatting sqref="N95:N100">
    <cfRule type="cellIs" dxfId="63" priority="49" operator="equal">
      <formula>16</formula>
    </cfRule>
    <cfRule type="cellIs" dxfId="62" priority="50" operator="equal">
      <formula>15</formula>
    </cfRule>
    <cfRule type="cellIs" dxfId="61" priority="51" operator="equal">
      <formula>14</formula>
    </cfRule>
    <cfRule type="cellIs" dxfId="60" priority="52" operator="equal">
      <formula>13</formula>
    </cfRule>
    <cfRule type="cellIs" dxfId="59" priority="53" operator="equal">
      <formula>12</formula>
    </cfRule>
    <cfRule type="cellIs" dxfId="58" priority="54" operator="equal">
      <formula>11</formula>
    </cfRule>
    <cfRule type="cellIs" dxfId="57" priority="55" operator="equal">
      <formula>10</formula>
    </cfRule>
    <cfRule type="cellIs" dxfId="56" priority="56" operator="equal">
      <formula>9</formula>
    </cfRule>
    <cfRule type="cellIs" dxfId="55" priority="57" operator="equal">
      <formula>8</formula>
    </cfRule>
    <cfRule type="cellIs" dxfId="54" priority="58" operator="equal">
      <formula>7</formula>
    </cfRule>
    <cfRule type="cellIs" dxfId="53" priority="59" operator="equal">
      <formula>6</formula>
    </cfRule>
    <cfRule type="cellIs" dxfId="52" priority="60" operator="equal">
      <formula>5</formula>
    </cfRule>
    <cfRule type="cellIs" dxfId="51" priority="61" operator="equal">
      <formula>4</formula>
    </cfRule>
    <cfRule type="cellIs" dxfId="50" priority="62" operator="equal">
      <formula>3</formula>
    </cfRule>
    <cfRule type="cellIs" dxfId="49" priority="63" operator="equal">
      <formula>2</formula>
    </cfRule>
    <cfRule type="cellIs" dxfId="48" priority="64" operator="equal">
      <formula>1</formula>
    </cfRule>
  </conditionalFormatting>
  <conditionalFormatting sqref="N6:N20">
    <cfRule type="cellIs" dxfId="47" priority="33" operator="equal">
      <formula>16</formula>
    </cfRule>
    <cfRule type="cellIs" dxfId="46" priority="34" operator="equal">
      <formula>15</formula>
    </cfRule>
    <cfRule type="cellIs" dxfId="45" priority="35" operator="equal">
      <formula>14</formula>
    </cfRule>
    <cfRule type="cellIs" dxfId="44" priority="36" operator="equal">
      <formula>13</formula>
    </cfRule>
    <cfRule type="cellIs" dxfId="43" priority="37" operator="equal">
      <formula>12</formula>
    </cfRule>
    <cfRule type="cellIs" dxfId="42" priority="38" operator="equal">
      <formula>11</formula>
    </cfRule>
    <cfRule type="cellIs" dxfId="41" priority="39" operator="equal">
      <formula>10</formula>
    </cfRule>
    <cfRule type="cellIs" dxfId="40" priority="40" operator="equal">
      <formula>9</formula>
    </cfRule>
    <cfRule type="cellIs" dxfId="39" priority="41" operator="equal">
      <formula>8</formula>
    </cfRule>
    <cfRule type="cellIs" dxfId="38" priority="42" operator="equal">
      <formula>7</formula>
    </cfRule>
    <cfRule type="cellIs" dxfId="37" priority="43" operator="equal">
      <formula>6</formula>
    </cfRule>
    <cfRule type="cellIs" dxfId="36" priority="44" operator="equal">
      <formula>5</formula>
    </cfRule>
    <cfRule type="cellIs" dxfId="35" priority="45" operator="equal">
      <formula>4</formula>
    </cfRule>
    <cfRule type="cellIs" dxfId="34" priority="46" operator="equal">
      <formula>3</formula>
    </cfRule>
    <cfRule type="cellIs" dxfId="33" priority="47" operator="equal">
      <formula>2</formula>
    </cfRule>
    <cfRule type="cellIs" dxfId="32" priority="48" operator="equal">
      <formula>1</formula>
    </cfRule>
  </conditionalFormatting>
  <conditionalFormatting sqref="N78:N91">
    <cfRule type="cellIs" dxfId="31" priority="17" operator="equal">
      <formula>16</formula>
    </cfRule>
    <cfRule type="cellIs" dxfId="30" priority="18" operator="equal">
      <formula>15</formula>
    </cfRule>
    <cfRule type="cellIs" dxfId="29" priority="19" operator="equal">
      <formula>14</formula>
    </cfRule>
    <cfRule type="cellIs" dxfId="28" priority="20" operator="equal">
      <formula>13</formula>
    </cfRule>
    <cfRule type="cellIs" dxfId="27" priority="21" operator="equal">
      <formula>12</formula>
    </cfRule>
    <cfRule type="cellIs" dxfId="26" priority="22" operator="equal">
      <formula>11</formula>
    </cfRule>
    <cfRule type="cellIs" dxfId="25" priority="23" operator="equal">
      <formula>10</formula>
    </cfRule>
    <cfRule type="cellIs" dxfId="24" priority="24" operator="equal">
      <formula>9</formula>
    </cfRule>
    <cfRule type="cellIs" dxfId="23" priority="25" operator="equal">
      <formula>8</formula>
    </cfRule>
    <cfRule type="cellIs" dxfId="22" priority="26" operator="equal">
      <formula>7</formula>
    </cfRule>
    <cfRule type="cellIs" dxfId="21" priority="27" operator="equal">
      <formula>6</formula>
    </cfRule>
    <cfRule type="cellIs" dxfId="20" priority="28" operator="equal">
      <formula>5</formula>
    </cfRule>
    <cfRule type="cellIs" dxfId="19" priority="29" operator="equal">
      <formula>4</formula>
    </cfRule>
    <cfRule type="cellIs" dxfId="18" priority="30" operator="equal">
      <formula>3</formula>
    </cfRule>
    <cfRule type="cellIs" dxfId="17" priority="31" operator="equal">
      <formula>2</formula>
    </cfRule>
    <cfRule type="cellIs" dxfId="16" priority="32" operator="equal">
      <formula>1</formula>
    </cfRule>
  </conditionalFormatting>
  <conditionalFormatting sqref="N92:N94">
    <cfRule type="cellIs" dxfId="15" priority="1" operator="equal">
      <formula>16</formula>
    </cfRule>
    <cfRule type="cellIs" dxfId="14" priority="2" operator="equal">
      <formula>15</formula>
    </cfRule>
    <cfRule type="cellIs" dxfId="13" priority="3" operator="equal">
      <formula>14</formula>
    </cfRule>
    <cfRule type="cellIs" dxfId="12" priority="4" operator="equal">
      <formula>13</formula>
    </cfRule>
    <cfRule type="cellIs" dxfId="11" priority="5" operator="equal">
      <formula>12</formula>
    </cfRule>
    <cfRule type="cellIs" dxfId="10" priority="6" operator="equal">
      <formula>11</formula>
    </cfRule>
    <cfRule type="cellIs" dxfId="9" priority="7" operator="equal">
      <formula>10</formula>
    </cfRule>
    <cfRule type="cellIs" dxfId="8" priority="8" operator="equal">
      <formula>9</formula>
    </cfRule>
    <cfRule type="cellIs" dxfId="7" priority="9" operator="equal">
      <formula>8</formula>
    </cfRule>
    <cfRule type="cellIs" dxfId="6" priority="10" operator="equal">
      <formula>7</formula>
    </cfRule>
    <cfRule type="cellIs" dxfId="5" priority="11" operator="equal">
      <formula>6</formula>
    </cfRule>
    <cfRule type="cellIs" dxfId="4" priority="12" operator="equal">
      <formula>5</formula>
    </cfRule>
    <cfRule type="cellIs" dxfId="3" priority="13" operator="equal">
      <formula>4</formula>
    </cfRule>
    <cfRule type="cellIs" dxfId="2" priority="14" operator="equal">
      <formula>3</formula>
    </cfRule>
    <cfRule type="cellIs" dxfId="1" priority="15" operator="equal">
      <formula>2</formula>
    </cfRule>
    <cfRule type="cellIs" dxfId="0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A34" sqref="A34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8"/>
      <c r="G2" s="89"/>
      <c r="H2" s="89"/>
      <c r="I2" s="89"/>
      <c r="J2" s="89"/>
      <c r="K2" s="257" t="str">
        <f>Poor!A1</f>
        <v>ZASLC</v>
      </c>
      <c r="L2" s="257"/>
      <c r="M2" s="257"/>
      <c r="N2" s="257"/>
      <c r="O2" s="257"/>
      <c r="P2" s="257"/>
      <c r="Q2" s="257"/>
      <c r="R2" s="87"/>
      <c r="S2" s="87"/>
      <c r="T2" s="87"/>
      <c r="U2" s="87"/>
      <c r="V2" s="87"/>
    </row>
    <row r="3" spans="1:22" s="93" customFormat="1" ht="17">
      <c r="A3" s="90"/>
      <c r="B3" s="258" t="str">
        <f>V.Poor!A3</f>
        <v>Sources of Food : Very Poor HHs</v>
      </c>
      <c r="C3" s="259"/>
      <c r="D3" s="259"/>
      <c r="E3" s="259"/>
      <c r="F3" s="92"/>
      <c r="G3" s="256" t="str">
        <f>Poor!A3</f>
        <v>Sources of Food : Poor HHs</v>
      </c>
      <c r="H3" s="256"/>
      <c r="I3" s="256"/>
      <c r="J3" s="256"/>
      <c r="K3" s="89"/>
      <c r="L3" s="256" t="str">
        <f>Middle!A3</f>
        <v>Sources of Food : Middle HHs</v>
      </c>
      <c r="M3" s="256"/>
      <c r="N3" s="256"/>
      <c r="O3" s="256"/>
      <c r="P3" s="256"/>
      <c r="Q3" s="91"/>
      <c r="R3" s="256" t="str">
        <f>Rich!A3</f>
        <v>Sources of Food : Better-off HHs</v>
      </c>
      <c r="S3" s="256"/>
      <c r="T3" s="256"/>
      <c r="U3" s="256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A81" zoomScale="125" zoomScaleNormal="125" zoomScalePageLayoutView="125" workbookViewId="0">
      <selection activeCell="B82" activeCellId="1" sqref="F88 B82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57" t="str">
        <f>Poor!A1</f>
        <v>ZASLC</v>
      </c>
      <c r="L2" s="257"/>
      <c r="M2" s="257"/>
      <c r="N2" s="257"/>
      <c r="O2" s="257"/>
      <c r="P2" s="257"/>
      <c r="Q2" s="257"/>
      <c r="R2" s="87"/>
      <c r="S2" s="87"/>
      <c r="T2" s="87"/>
      <c r="U2" s="87"/>
      <c r="V2" s="87"/>
    </row>
    <row r="3" spans="1:22" s="93" customFormat="1" ht="17">
      <c r="A3" s="90"/>
      <c r="B3" s="89"/>
      <c r="C3" s="258" t="str">
        <f>V.Poor!A26</f>
        <v>Income : Very Poor HHs</v>
      </c>
      <c r="D3" s="258"/>
      <c r="E3" s="258"/>
      <c r="F3" s="90"/>
      <c r="G3" s="256" t="str">
        <f>Poor!A26</f>
        <v>Income : Poor HHs</v>
      </c>
      <c r="H3" s="256"/>
      <c r="I3" s="256"/>
      <c r="J3" s="256"/>
      <c r="K3" s="89"/>
      <c r="L3" s="256" t="str">
        <f>Middle!A26</f>
        <v>Income : Middle HHs</v>
      </c>
      <c r="M3" s="256"/>
      <c r="N3" s="256"/>
      <c r="O3" s="256"/>
      <c r="P3" s="256"/>
      <c r="Q3" s="91"/>
      <c r="R3" s="256" t="str">
        <f>Rich!A26</f>
        <v>Income : Better-off HHs</v>
      </c>
      <c r="S3" s="256"/>
      <c r="T3" s="256"/>
      <c r="U3" s="256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69" t="s">
        <v>90</v>
      </c>
      <c r="C71" s="169" t="s">
        <v>91</v>
      </c>
      <c r="D71" s="169" t="s">
        <v>92</v>
      </c>
      <c r="E71" s="169" t="s">
        <v>93</v>
      </c>
      <c r="F71" s="169" t="s">
        <v>94</v>
      </c>
      <c r="G71" s="169" t="s">
        <v>95</v>
      </c>
      <c r="H71" s="169" t="s">
        <v>96</v>
      </c>
      <c r="I71" s="169" t="s">
        <v>97</v>
      </c>
    </row>
    <row r="72" spans="1:9">
      <c r="A72" t="str">
        <f>V.Poor!Q7</f>
        <v>Own crops Consumed</v>
      </c>
      <c r="B72" s="108">
        <f>V.Poor!R7</f>
        <v>1487.0145045438785</v>
      </c>
      <c r="C72" s="108">
        <f>Poor!R7</f>
        <v>2307.2153332731605</v>
      </c>
      <c r="D72" s="108">
        <f>Middle!R7</f>
        <v>2260.6404196139724</v>
      </c>
      <c r="E72" s="108">
        <f>Rich!R7</f>
        <v>3458.8488009197026</v>
      </c>
      <c r="F72" s="108">
        <f>V.Poor!T7</f>
        <v>1487.0145045438785</v>
      </c>
      <c r="G72" s="108">
        <f>Poor!T7</f>
        <v>2307.2153332731605</v>
      </c>
      <c r="H72" s="108">
        <f>Middle!T7</f>
        <v>2260.6404196139724</v>
      </c>
      <c r="I72" s="108">
        <f>Rich!T7</f>
        <v>3443.1155188969597</v>
      </c>
    </row>
    <row r="73" spans="1:9">
      <c r="A73" t="str">
        <f>V.Poor!Q8</f>
        <v>Own crops sold</v>
      </c>
      <c r="B73" s="108">
        <f>V.Poor!R8</f>
        <v>0</v>
      </c>
      <c r="C73" s="108">
        <f>Poor!R8</f>
        <v>0</v>
      </c>
      <c r="D73" s="108">
        <f>Middle!R8</f>
        <v>168.00000000000003</v>
      </c>
      <c r="E73" s="108">
        <f>Rich!R8</f>
        <v>18345.600000000002</v>
      </c>
      <c r="F73" s="108">
        <f>V.Poor!T8</f>
        <v>0</v>
      </c>
      <c r="G73" s="108">
        <f>Poor!T8</f>
        <v>0</v>
      </c>
      <c r="H73" s="108">
        <f>Middle!T8</f>
        <v>160.24100441315127</v>
      </c>
      <c r="I73" s="108">
        <f>Rich!T8</f>
        <v>15726.291968389682</v>
      </c>
    </row>
    <row r="74" spans="1:9">
      <c r="A74" t="str">
        <f>V.Poor!Q9</f>
        <v>Animal products consumed</v>
      </c>
      <c r="B74" s="108">
        <f>V.Poor!R9</f>
        <v>0</v>
      </c>
      <c r="C74" s="108">
        <f>Poor!R9</f>
        <v>22.602112558965903</v>
      </c>
      <c r="D74" s="108">
        <f>Middle!R9</f>
        <v>938.42932167237541</v>
      </c>
      <c r="E74" s="108">
        <f>Rich!R9</f>
        <v>1530.3594248062977</v>
      </c>
      <c r="F74" s="108">
        <f>V.Poor!T9</f>
        <v>0</v>
      </c>
      <c r="G74" s="108">
        <f>Poor!T9</f>
        <v>22.602112558965903</v>
      </c>
      <c r="H74" s="108">
        <f>Middle!T9</f>
        <v>938.42932167237541</v>
      </c>
      <c r="I74" s="108">
        <f>Rich!T9</f>
        <v>1530.3594248062977</v>
      </c>
    </row>
    <row r="75" spans="1:9">
      <c r="A75" t="str">
        <f>V.Poor!Q10</f>
        <v>Animal products sold</v>
      </c>
      <c r="B75" s="108">
        <f>V.Poor!R10</f>
        <v>0</v>
      </c>
      <c r="C75" s="108">
        <f>Poor!R10</f>
        <v>0</v>
      </c>
      <c r="D75" s="108">
        <f>Middle!R10</f>
        <v>0</v>
      </c>
      <c r="E75" s="108">
        <f>Rich!R10</f>
        <v>0</v>
      </c>
      <c r="F75" s="108">
        <f>V.Poor!T10</f>
        <v>0</v>
      </c>
      <c r="G75" s="108">
        <f>Poor!T10</f>
        <v>0</v>
      </c>
      <c r="H75" s="108">
        <f>Middle!T10</f>
        <v>0</v>
      </c>
      <c r="I75" s="108">
        <f>Rich!T10</f>
        <v>0</v>
      </c>
    </row>
    <row r="76" spans="1:9">
      <c r="A76" t="str">
        <f>V.Poor!Q11</f>
        <v>Animals sold</v>
      </c>
      <c r="B76" s="108">
        <f>V.Poor!R11</f>
        <v>711.20000000000016</v>
      </c>
      <c r="C76" s="108">
        <f>Poor!R11</f>
        <v>3133.76</v>
      </c>
      <c r="D76" s="108">
        <f>Middle!R11</f>
        <v>9520</v>
      </c>
      <c r="E76" s="108">
        <f>Rich!R11</f>
        <v>24333.120000000003</v>
      </c>
      <c r="F76" s="108">
        <f>V.Poor!T11</f>
        <v>662.15</v>
      </c>
      <c r="G76" s="108">
        <f>Poor!T11</f>
        <v>2893.8199999999997</v>
      </c>
      <c r="H76" s="108">
        <f>Middle!T11</f>
        <v>9168.3572216388839</v>
      </c>
      <c r="I76" s="108">
        <f>Rich!T11</f>
        <v>23803.976928991404</v>
      </c>
    </row>
    <row r="77" spans="1:9">
      <c r="A77" t="str">
        <f>V.Poor!Q12</f>
        <v>Wild foods consumed and sold</v>
      </c>
      <c r="B77" s="108">
        <f>V.Poor!R12</f>
        <v>716.80000000000007</v>
      </c>
      <c r="C77" s="108">
        <f>Poor!R12</f>
        <v>716.80000000000007</v>
      </c>
      <c r="D77" s="108">
        <f>Middle!R12</f>
        <v>0</v>
      </c>
      <c r="E77" s="108">
        <f>Rich!R12</f>
        <v>0</v>
      </c>
      <c r="F77" s="108">
        <f>V.Poor!T12</f>
        <v>792.25949273882077</v>
      </c>
      <c r="G77" s="108">
        <f>Poor!T12</f>
        <v>920.43248789803476</v>
      </c>
      <c r="H77" s="108">
        <f>Middle!T12</f>
        <v>0</v>
      </c>
      <c r="I77" s="108">
        <f>Rich!T12</f>
        <v>0</v>
      </c>
    </row>
    <row r="78" spans="1:9">
      <c r="A78" t="str">
        <f>V.Poor!Q13</f>
        <v>Labour - casual</v>
      </c>
      <c r="B78" s="108">
        <f>V.Poor!R13</f>
        <v>6731.2000000000007</v>
      </c>
      <c r="C78" s="108">
        <f>Poor!R13</f>
        <v>13496.000000000002</v>
      </c>
      <c r="D78" s="108">
        <f>Middle!R13</f>
        <v>1323.9328788663345</v>
      </c>
      <c r="E78" s="108">
        <f>Rich!R13</f>
        <v>0</v>
      </c>
      <c r="F78" s="108">
        <f>V.Poor!T13</f>
        <v>6552.468348418417</v>
      </c>
      <c r="G78" s="108">
        <f>Poor!T13</f>
        <v>15414.462000000001</v>
      </c>
      <c r="H78" s="108">
        <f>Middle!T13</f>
        <v>1132.5921390423518</v>
      </c>
      <c r="I78" s="108">
        <f>Rich!T13</f>
        <v>0</v>
      </c>
    </row>
    <row r="79" spans="1:9">
      <c r="A79" t="str">
        <f>V.Poor!Q14</f>
        <v>Labour - formal emp</v>
      </c>
      <c r="B79" s="108">
        <f>V.Poor!R14</f>
        <v>0</v>
      </c>
      <c r="C79" s="108">
        <f>Poor!R14</f>
        <v>0</v>
      </c>
      <c r="D79" s="108">
        <f>Middle!R14</f>
        <v>40320.000000000007</v>
      </c>
      <c r="E79" s="108">
        <f>Rich!R14</f>
        <v>274176.00000000006</v>
      </c>
      <c r="F79" s="108">
        <f>V.Poor!T14</f>
        <v>0</v>
      </c>
      <c r="G79" s="108">
        <f>Poor!T14</f>
        <v>0</v>
      </c>
      <c r="H79" s="108">
        <f>Middle!T14</f>
        <v>38101.749938238187</v>
      </c>
      <c r="I79" s="108">
        <f>Rich!T14</f>
        <v>260598.59638338201</v>
      </c>
    </row>
    <row r="80" spans="1:9">
      <c r="A80" t="str">
        <f>V.Poor!Q15</f>
        <v>Labour - public works</v>
      </c>
      <c r="B80" s="108">
        <f>V.Poor!R15</f>
        <v>0</v>
      </c>
      <c r="C80" s="108">
        <f>Poor!R15</f>
        <v>628.32000000000005</v>
      </c>
      <c r="D80" s="108">
        <f>Middle!R15</f>
        <v>0</v>
      </c>
      <c r="E80" s="108">
        <f>Rich!R15</f>
        <v>0</v>
      </c>
      <c r="F80" s="108">
        <f>V.Poor!T15</f>
        <v>0</v>
      </c>
      <c r="G80" s="108">
        <f>Poor!T15</f>
        <v>600.27</v>
      </c>
      <c r="H80" s="108">
        <f>Middle!T15</f>
        <v>0</v>
      </c>
      <c r="I80" s="108">
        <f>Rich!T15</f>
        <v>0</v>
      </c>
    </row>
    <row r="81" spans="1:9">
      <c r="A81" t="str">
        <f>V.Poor!Q16</f>
        <v>Self - employment</v>
      </c>
      <c r="B81" s="108">
        <f>V.Poor!R16</f>
        <v>4032.0000000000005</v>
      </c>
      <c r="C81" s="108">
        <f>Poor!R16</f>
        <v>4592.0000000000009</v>
      </c>
      <c r="D81" s="108">
        <f>Middle!R16</f>
        <v>4032.0000000000005</v>
      </c>
      <c r="E81" s="108">
        <f>Rich!R16</f>
        <v>8064.0000000000027</v>
      </c>
      <c r="F81" s="108">
        <f>V.Poor!T16</f>
        <v>3842.0959587347329</v>
      </c>
      <c r="G81" s="108">
        <f>Poor!T16</f>
        <v>5412.0000000000009</v>
      </c>
      <c r="H81" s="108">
        <f>Middle!T16</f>
        <v>3917.002330099253</v>
      </c>
      <c r="I81" s="108">
        <f>Rich!T16</f>
        <v>7879.5617378152911</v>
      </c>
    </row>
    <row r="82" spans="1:9">
      <c r="A82" t="str">
        <f>V.Poor!Q17</f>
        <v>Small business/petty trading</v>
      </c>
      <c r="B82" s="108">
        <f>V.Poor!R17</f>
        <v>0</v>
      </c>
      <c r="C82" s="108">
        <f>Poor!R17</f>
        <v>940.80000000000007</v>
      </c>
      <c r="D82" s="108">
        <f>Middle!R17</f>
        <v>8064.0000000000009</v>
      </c>
      <c r="E82" s="108">
        <f>Rich!R17</f>
        <v>19353.600000000002</v>
      </c>
      <c r="F82" s="108">
        <f>V.Poor!T17</f>
        <v>0</v>
      </c>
      <c r="G82" s="108">
        <f>Poor!T17</f>
        <v>882.00000000000011</v>
      </c>
      <c r="H82" s="108">
        <f>Middle!T17</f>
        <v>7477.9135392803919</v>
      </c>
      <c r="I82" s="108">
        <f>Rich!T17</f>
        <v>18051.359617540478</v>
      </c>
    </row>
    <row r="83" spans="1:9">
      <c r="A83" t="str">
        <f>V.Poor!Q18</f>
        <v>Food transfer - official</v>
      </c>
      <c r="B83" s="108">
        <f>V.Poor!R18</f>
        <v>666.26128843769459</v>
      </c>
      <c r="C83" s="108">
        <f>Poor!R18</f>
        <v>654.06827139439042</v>
      </c>
      <c r="D83" s="108">
        <f>Middle!R18</f>
        <v>0</v>
      </c>
      <c r="E83" s="108">
        <f>Rich!R18</f>
        <v>0</v>
      </c>
      <c r="F83" s="108">
        <f>V.Poor!T18</f>
        <v>666.26128843769459</v>
      </c>
      <c r="G83" s="108">
        <f>Poor!T18</f>
        <v>654.06827139439042</v>
      </c>
      <c r="H83" s="108">
        <f>Middle!T18</f>
        <v>0</v>
      </c>
      <c r="I83" s="108">
        <f>Rich!T18</f>
        <v>0</v>
      </c>
    </row>
    <row r="84" spans="1:9">
      <c r="A84" t="str">
        <f>V.Poor!Q19</f>
        <v>Food transfer - gifts</v>
      </c>
      <c r="B84" s="108">
        <f>V.Poor!R19</f>
        <v>0</v>
      </c>
      <c r="C84" s="108">
        <f>Poor!R19</f>
        <v>0</v>
      </c>
      <c r="D84" s="108">
        <f>Middle!R19</f>
        <v>0</v>
      </c>
      <c r="E84" s="108">
        <f>Rich!R19</f>
        <v>0</v>
      </c>
      <c r="F84" s="108">
        <f>V.Poor!T19</f>
        <v>0</v>
      </c>
      <c r="G84" s="108">
        <f>Poor!T19</f>
        <v>0</v>
      </c>
      <c r="H84" s="108">
        <f>Middle!T19</f>
        <v>0</v>
      </c>
      <c r="I84" s="108">
        <f>Rich!T19</f>
        <v>0</v>
      </c>
    </row>
    <row r="85" spans="1:9">
      <c r="A85" t="str">
        <f>V.Poor!Q20</f>
        <v>Cash transfer - official</v>
      </c>
      <c r="B85" s="108">
        <f>V.Poor!R20</f>
        <v>22378.617310981866</v>
      </c>
      <c r="C85" s="108">
        <f>Poor!R20</f>
        <v>22378.617310981866</v>
      </c>
      <c r="D85" s="108">
        <f>Middle!R20</f>
        <v>9048.3949367088626</v>
      </c>
      <c r="E85" s="108">
        <f>Rich!R20</f>
        <v>10858.073924050634</v>
      </c>
      <c r="F85" s="108">
        <f>V.Poor!T20</f>
        <v>22178.808227848105</v>
      </c>
      <c r="G85" s="108">
        <f>Poor!T20</f>
        <v>22178.808227848105</v>
      </c>
      <c r="H85" s="108">
        <f>Middle!T20</f>
        <v>8870.2354564233992</v>
      </c>
      <c r="I85" s="108">
        <f>Rich!T20</f>
        <v>10706.182230850292</v>
      </c>
    </row>
    <row r="86" spans="1:9">
      <c r="A86" t="str">
        <f>V.Poor!Q21</f>
        <v>Cash transfer - gifts</v>
      </c>
      <c r="B86" s="108">
        <f>V.Poor!R21</f>
        <v>2688.0000000000005</v>
      </c>
      <c r="C86" s="108">
        <f>Poor!R21</f>
        <v>4032.0000000000005</v>
      </c>
      <c r="D86" s="108">
        <f>Middle!R21</f>
        <v>26880.000000000004</v>
      </c>
      <c r="E86" s="108">
        <f>Rich!R21</f>
        <v>48384.000000000015</v>
      </c>
      <c r="F86" s="108">
        <f>V.Poor!T21</f>
        <v>2520.0000000000005</v>
      </c>
      <c r="G86" s="108">
        <f>Poor!T21</f>
        <v>3780.0000000000005</v>
      </c>
      <c r="H86" s="108">
        <f>Middle!T21</f>
        <v>24926.378464267971</v>
      </c>
      <c r="I86" s="108">
        <f>Rich!T21</f>
        <v>45128.399043851212</v>
      </c>
    </row>
    <row r="87" spans="1:9">
      <c r="A87" t="str">
        <f>V.Poor!Q22</f>
        <v>Other</v>
      </c>
      <c r="B87" s="108">
        <f>V.Poor!R22</f>
        <v>504.00000000000006</v>
      </c>
      <c r="C87" s="108">
        <f>Poor!R22</f>
        <v>0</v>
      </c>
      <c r="D87" s="108">
        <f>Middle!R22</f>
        <v>0</v>
      </c>
      <c r="E87" s="108">
        <f>Rich!R22</f>
        <v>0</v>
      </c>
      <c r="F87" s="108">
        <f>V.Poor!T22</f>
        <v>450</v>
      </c>
      <c r="G87" s="108">
        <f>Poor!T22</f>
        <v>0</v>
      </c>
      <c r="H87" s="108">
        <f>Middle!T22</f>
        <v>0</v>
      </c>
      <c r="I87" s="108">
        <f>Rich!T22</f>
        <v>0</v>
      </c>
    </row>
    <row r="88" spans="1:9">
      <c r="A88" t="str">
        <f>V.Poor!Q23</f>
        <v>TOTAL</v>
      </c>
      <c r="B88" s="108">
        <f>V.Poor!R23</f>
        <v>39915.093103963438</v>
      </c>
      <c r="C88" s="108">
        <f>Poor!R23</f>
        <v>52902.183028208383</v>
      </c>
      <c r="D88" s="108">
        <f>Middle!R23</f>
        <v>102555.39755686156</v>
      </c>
      <c r="E88" s="108">
        <f>Rich!R23</f>
        <v>408503.60214977665</v>
      </c>
      <c r="F88" s="108">
        <f>V.Poor!T23</f>
        <v>39151.057820721646</v>
      </c>
      <c r="G88" s="108">
        <f>Poor!T23</f>
        <v>55065.678432972658</v>
      </c>
      <c r="H88" s="108">
        <f>Middle!T23</f>
        <v>96953.539834689931</v>
      </c>
      <c r="I88" s="108">
        <f>Rich!T23</f>
        <v>386867.84285452357</v>
      </c>
    </row>
    <row r="89" spans="1:9">
      <c r="A89" t="str">
        <f>V.Poor!Q24</f>
        <v>Food Poverty line</v>
      </c>
      <c r="B89" s="108">
        <f>V.Poor!R24</f>
        <v>18678.904463959963</v>
      </c>
      <c r="C89" s="108">
        <f>Poor!R24</f>
        <v>18678.904463959963</v>
      </c>
      <c r="D89" s="108">
        <f>Middle!R24</f>
        <v>18678.904463959963</v>
      </c>
      <c r="E89" s="108">
        <f>Rich!R24</f>
        <v>18678.904463959967</v>
      </c>
      <c r="F89" s="108">
        <f>V.Poor!T24</f>
        <v>18678.904463959963</v>
      </c>
      <c r="G89" s="108">
        <f>Poor!T24</f>
        <v>18678.904463959963</v>
      </c>
      <c r="H89" s="108">
        <f>Middle!T24</f>
        <v>18678.904463959963</v>
      </c>
      <c r="I89" s="108">
        <f>Rich!T24</f>
        <v>18678.904463959967</v>
      </c>
    </row>
    <row r="90" spans="1:9">
      <c r="A90" s="107" t="str">
        <f>V.Poor!Q25</f>
        <v>Lower Bound Poverty line</v>
      </c>
      <c r="B90" s="108">
        <f>V.Poor!R25</f>
        <v>31956.58733381049</v>
      </c>
      <c r="C90" s="108">
        <f>Poor!R25</f>
        <v>31956.58733381049</v>
      </c>
      <c r="D90" s="108">
        <f>Middle!R25</f>
        <v>31956.58733381049</v>
      </c>
      <c r="E90" s="108">
        <f>Rich!R25</f>
        <v>31956.587333810494</v>
      </c>
      <c r="F90" s="108">
        <f>V.Poor!T25</f>
        <v>31648.144463959969</v>
      </c>
      <c r="G90" s="108">
        <f>Poor!T25</f>
        <v>31648.144463959969</v>
      </c>
      <c r="H90" s="108">
        <f>Middle!T25</f>
        <v>31648.144463959969</v>
      </c>
      <c r="I90" s="108">
        <f>Rich!T25</f>
        <v>31648.144463959965</v>
      </c>
    </row>
    <row r="91" spans="1:9">
      <c r="A91" s="107" t="str">
        <f>V.Poor!Q26</f>
        <v>Upper Bound Poverty line</v>
      </c>
      <c r="B91" s="108">
        <f>V.Poor!R26</f>
        <v>55602.772300932178</v>
      </c>
      <c r="C91" s="108">
        <f>Poor!R26</f>
        <v>55602.772300932178</v>
      </c>
      <c r="D91" s="108">
        <f>Middle!R26</f>
        <v>55602.772300932178</v>
      </c>
      <c r="E91" s="108">
        <f>Rich!R26</f>
        <v>55602.772300932185</v>
      </c>
      <c r="F91" s="108">
        <f>V.Poor!T26</f>
        <v>54745.024463959962</v>
      </c>
      <c r="G91" s="108">
        <f>Poor!T26</f>
        <v>54745.024463959962</v>
      </c>
      <c r="H91" s="108">
        <f>Middle!T26</f>
        <v>54745.024463959962</v>
      </c>
      <c r="I91" s="108">
        <f>Rich!T26</f>
        <v>54745.02446395997</v>
      </c>
    </row>
    <row r="92" spans="1:9">
      <c r="A92" s="107" t="str">
        <f>V.Poor!Q27</f>
        <v>Resilience line</v>
      </c>
      <c r="B92" s="108">
        <f>V.Poor!R27</f>
        <v>56684.623900735132</v>
      </c>
      <c r="C92" s="108">
        <f>Poor!R27</f>
        <v>58438.087155457783</v>
      </c>
      <c r="D92" s="108">
        <f>Middle!R27</f>
        <v>81080.832035787433</v>
      </c>
      <c r="E92" s="108">
        <f>Rich!R27</f>
        <v>114329.58634989962</v>
      </c>
      <c r="F92" s="108">
        <f>V.Poor!T27</f>
        <v>55801.744463959963</v>
      </c>
      <c r="G92" s="108">
        <f>Poor!T27</f>
        <v>57514.474463959959</v>
      </c>
      <c r="H92" s="108">
        <f>Middle!T27</f>
        <v>79631.224463959967</v>
      </c>
      <c r="I92" s="108">
        <f>Rich!T27</f>
        <v>112107.60446395997</v>
      </c>
    </row>
    <row r="93" spans="1:9">
      <c r="A93" t="str">
        <f>V.Poor!Q24</f>
        <v>Food Poverty line</v>
      </c>
      <c r="F93" s="108">
        <f>V.Poor!T24</f>
        <v>18678.904463959963</v>
      </c>
      <c r="G93" s="108">
        <f>Poor!T24</f>
        <v>18678.904463959963</v>
      </c>
      <c r="H93" s="108">
        <f>Middle!T24</f>
        <v>18678.904463959963</v>
      </c>
      <c r="I93" s="108">
        <f>Rich!T24</f>
        <v>18678.904463959967</v>
      </c>
    </row>
    <row r="94" spans="1:9">
      <c r="A94" t="str">
        <f>V.Poor!Q25</f>
        <v>Lower Bound Poverty line</v>
      </c>
      <c r="F94" s="108">
        <f>V.Poor!T25</f>
        <v>31648.144463959969</v>
      </c>
      <c r="G94" s="108">
        <f>Poor!T25</f>
        <v>31648.144463959969</v>
      </c>
      <c r="H94" s="108">
        <f>Middle!T25</f>
        <v>31648.144463959969</v>
      </c>
      <c r="I94" s="108">
        <f>Rich!T25</f>
        <v>31648.144463959965</v>
      </c>
    </row>
    <row r="95" spans="1:9">
      <c r="A95" t="str">
        <f>V.Poor!Q26</f>
        <v>Upper Bound Poverty line</v>
      </c>
      <c r="F95" s="108">
        <f>V.Poor!T26</f>
        <v>54745.024463959962</v>
      </c>
      <c r="G95" s="108">
        <f>Poor!T26</f>
        <v>54745.024463959962</v>
      </c>
      <c r="H95" s="108">
        <f>Middle!T26</f>
        <v>54745.024463959962</v>
      </c>
      <c r="I95" s="108">
        <f>Rich!T26</f>
        <v>54745.02446395997</v>
      </c>
    </row>
    <row r="96" spans="1:9">
      <c r="A96" t="str">
        <f>V.Poor!Q27</f>
        <v>Resilience line</v>
      </c>
      <c r="F96" s="108">
        <f>V.Poor!T27</f>
        <v>55801.744463959963</v>
      </c>
      <c r="G96" s="108">
        <f>Poor!T27</f>
        <v>57514.474463959959</v>
      </c>
      <c r="H96" s="108">
        <f>Middle!T27</f>
        <v>79631.224463959967</v>
      </c>
      <c r="I96" s="108">
        <f>Rich!T27</f>
        <v>112107.60446395997</v>
      </c>
    </row>
    <row r="98" spans="1:9">
      <c r="A98" t="s">
        <v>149</v>
      </c>
      <c r="B98">
        <f>IF(B89&gt;B$88,B89-B$88,0)</f>
        <v>0</v>
      </c>
      <c r="C98">
        <f t="shared" ref="C98:I99" si="0">IF(C89&gt;C$88,C89-C$88,0)</f>
        <v>0</v>
      </c>
      <c r="D98">
        <f t="shared" si="0"/>
        <v>0</v>
      </c>
      <c r="E98">
        <f t="shared" si="0"/>
        <v>0</v>
      </c>
      <c r="F98">
        <f t="shared" si="0"/>
        <v>0</v>
      </c>
      <c r="G98">
        <f t="shared" si="0"/>
        <v>0</v>
      </c>
      <c r="H98">
        <f t="shared" si="0"/>
        <v>0</v>
      </c>
      <c r="I98">
        <f t="shared" si="0"/>
        <v>0</v>
      </c>
    </row>
    <row r="99" spans="1:9">
      <c r="A99" t="s">
        <v>150</v>
      </c>
      <c r="B99">
        <f>IF(B90&gt;B$88,B90-B$88,0)</f>
        <v>0</v>
      </c>
      <c r="C99">
        <f t="shared" si="0"/>
        <v>0</v>
      </c>
      <c r="D99">
        <f t="shared" si="0"/>
        <v>0</v>
      </c>
      <c r="E99">
        <f t="shared" si="0"/>
        <v>0</v>
      </c>
      <c r="F99">
        <f t="shared" si="0"/>
        <v>0</v>
      </c>
      <c r="G99">
        <f t="shared" si="0"/>
        <v>0</v>
      </c>
      <c r="H99">
        <f t="shared" si="0"/>
        <v>0</v>
      </c>
      <c r="I99">
        <f t="shared" si="0"/>
        <v>0</v>
      </c>
    </row>
    <row r="100" spans="1:9">
      <c r="A100" t="s">
        <v>151</v>
      </c>
      <c r="B100">
        <f>IF(B91&gt;B$88,B91-B$88,0)</f>
        <v>15687.67919696874</v>
      </c>
      <c r="C100">
        <f t="shared" ref="C100:I100" si="1">IF(C91&gt;C$88,C91-C$88,0)</f>
        <v>2700.5892727237951</v>
      </c>
      <c r="D100">
        <f t="shared" si="1"/>
        <v>0</v>
      </c>
      <c r="E100">
        <f t="shared" si="1"/>
        <v>0</v>
      </c>
      <c r="F100">
        <f t="shared" si="1"/>
        <v>15593.966643238316</v>
      </c>
      <c r="G100">
        <f t="shared" si="1"/>
        <v>0</v>
      </c>
      <c r="H100">
        <f t="shared" si="1"/>
        <v>0</v>
      </c>
      <c r="I100">
        <f t="shared" si="1"/>
        <v>0</v>
      </c>
    </row>
    <row r="101" spans="1:9">
      <c r="A101" t="s">
        <v>152</v>
      </c>
      <c r="B101">
        <f>IF(B92&gt;B$88,B92-B$88,0)</f>
        <v>16769.530796771694</v>
      </c>
      <c r="C101">
        <f t="shared" ref="C101:I101" si="2">IF(C92&gt;C$88,C92-C$88,0)</f>
        <v>5535.9041272493996</v>
      </c>
      <c r="D101">
        <f t="shared" si="2"/>
        <v>0</v>
      </c>
      <c r="E101">
        <f t="shared" si="2"/>
        <v>0</v>
      </c>
      <c r="F101">
        <f t="shared" si="2"/>
        <v>16650.686643238318</v>
      </c>
      <c r="G101">
        <f t="shared" si="2"/>
        <v>2448.7960309873015</v>
      </c>
      <c r="H101">
        <f t="shared" si="2"/>
        <v>0</v>
      </c>
      <c r="I101">
        <f t="shared" si="2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3" zoomScale="75" workbookViewId="0">
      <selection activeCell="I55" sqref="I55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57" t="str">
        <f>Poor!A1</f>
        <v>ZASLC</v>
      </c>
      <c r="L2" s="257"/>
      <c r="M2" s="257"/>
      <c r="N2" s="257"/>
      <c r="O2" s="257"/>
      <c r="P2" s="257"/>
      <c r="Q2" s="257"/>
      <c r="R2" s="87"/>
      <c r="S2" s="87"/>
      <c r="T2" s="87"/>
      <c r="U2" s="87"/>
      <c r="V2" s="87"/>
    </row>
    <row r="3" spans="1:22" s="93" customFormat="1" ht="17">
      <c r="A3" s="90"/>
      <c r="B3" s="258" t="str">
        <f>V.Poor!A54</f>
        <v>Expenditure : Very Poor HHs</v>
      </c>
      <c r="C3" s="258"/>
      <c r="D3" s="258"/>
      <c r="E3" s="258"/>
      <c r="F3" s="90"/>
      <c r="G3" s="256" t="str">
        <f>Poor!A54</f>
        <v>Expenditure : Poor HHs</v>
      </c>
      <c r="H3" s="256"/>
      <c r="I3" s="256"/>
      <c r="J3" s="256"/>
      <c r="K3" s="89"/>
      <c r="L3" s="256" t="str">
        <f>Middle!A54</f>
        <v>Expenditure : Middle HHs</v>
      </c>
      <c r="M3" s="256"/>
      <c r="N3" s="256"/>
      <c r="O3" s="256"/>
      <c r="P3" s="256"/>
      <c r="Q3" s="91"/>
      <c r="R3" s="256" t="str">
        <f>Rich!A54</f>
        <v>Expenditure : Better-off HHs</v>
      </c>
      <c r="S3" s="256"/>
      <c r="T3" s="256"/>
      <c r="U3" s="256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2" bestFit="1" customWidth="1"/>
    <col min="2" max="2" width="9" style="202" bestFit="1" customWidth="1"/>
    <col min="3" max="4" width="6.5703125" style="202" bestFit="1" customWidth="1"/>
    <col min="5" max="5" width="8.28515625" style="202" bestFit="1" customWidth="1"/>
    <col min="6" max="9" width="7.5703125" style="202" bestFit="1" customWidth="1"/>
    <col min="10" max="10" width="8.42578125" style="202" bestFit="1" customWidth="1"/>
    <col min="11" max="14" width="7.5703125" style="202" bestFit="1" customWidth="1"/>
    <col min="15" max="15" width="8.28515625" style="202" customWidth="1"/>
    <col min="16" max="43" width="7.42578125" style="202" bestFit="1" customWidth="1"/>
    <col min="44" max="89" width="8.42578125" style="202" bestFit="1" customWidth="1"/>
    <col min="90" max="105" width="9.42578125" style="202" bestFit="1" customWidth="1"/>
    <col min="106" max="16384" width="11.5703125" style="202"/>
  </cols>
  <sheetData>
    <row r="1" spans="1:106">
      <c r="B1" s="202" t="s">
        <v>99</v>
      </c>
      <c r="C1" s="202" t="s">
        <v>98</v>
      </c>
      <c r="D1" s="202" t="s">
        <v>100</v>
      </c>
      <c r="E1" s="202" t="s">
        <v>101</v>
      </c>
    </row>
    <row r="2" spans="1:106">
      <c r="B2" s="203">
        <f>[1]!WB_summary</f>
        <v>0.49</v>
      </c>
      <c r="C2" s="203">
        <f>[1]WB!$CK$10</f>
        <v>0</v>
      </c>
      <c r="D2" s="203">
        <f>[1]WB!$CK$11</f>
        <v>0</v>
      </c>
      <c r="E2" s="203">
        <f>[1]WB!$CK$12</f>
        <v>0</v>
      </c>
      <c r="F2" s="203">
        <v>0.01</v>
      </c>
      <c r="G2" s="203">
        <v>0.02</v>
      </c>
      <c r="H2" s="203">
        <v>0.03</v>
      </c>
      <c r="I2" s="203">
        <v>0.04</v>
      </c>
      <c r="J2" s="203">
        <v>0.05</v>
      </c>
      <c r="K2" s="203">
        <v>0.06</v>
      </c>
      <c r="L2" s="203">
        <v>7.0000000000000007E-2</v>
      </c>
      <c r="M2" s="203">
        <v>0.08</v>
      </c>
      <c r="N2" s="203">
        <v>0.09</v>
      </c>
      <c r="O2" s="203">
        <v>0.1</v>
      </c>
      <c r="P2" s="203">
        <v>0.11</v>
      </c>
      <c r="Q2" s="203">
        <v>0.12</v>
      </c>
      <c r="R2" s="203">
        <v>0.13</v>
      </c>
      <c r="S2" s="203">
        <v>0.14000000000000001</v>
      </c>
      <c r="T2" s="203">
        <v>0.15</v>
      </c>
      <c r="U2" s="203">
        <v>0.16</v>
      </c>
      <c r="V2" s="203">
        <v>0.17</v>
      </c>
      <c r="W2" s="203">
        <v>0.18</v>
      </c>
      <c r="X2" s="203">
        <v>0.19</v>
      </c>
      <c r="Y2" s="203">
        <v>0.2</v>
      </c>
      <c r="Z2" s="203">
        <v>0.21</v>
      </c>
      <c r="AA2" s="203">
        <v>0.22</v>
      </c>
      <c r="AB2" s="203">
        <v>0.23</v>
      </c>
      <c r="AC2" s="203">
        <v>0.24</v>
      </c>
      <c r="AD2" s="203">
        <v>0.25</v>
      </c>
      <c r="AE2" s="203">
        <v>0.26</v>
      </c>
      <c r="AF2" s="203">
        <v>0.27</v>
      </c>
      <c r="AG2" s="203">
        <v>0.28000000000000003</v>
      </c>
      <c r="AH2" s="203">
        <v>0.28999999999999998</v>
      </c>
      <c r="AI2" s="203">
        <v>0.3</v>
      </c>
      <c r="AJ2" s="203">
        <v>0.31</v>
      </c>
      <c r="AK2" s="203">
        <v>0.32</v>
      </c>
      <c r="AL2" s="203">
        <v>0.33</v>
      </c>
      <c r="AM2" s="203">
        <v>0.34</v>
      </c>
      <c r="AN2" s="203">
        <v>0.35</v>
      </c>
      <c r="AO2" s="203">
        <v>0.36</v>
      </c>
      <c r="AP2" s="203">
        <v>0.37</v>
      </c>
      <c r="AQ2" s="203">
        <v>0.38</v>
      </c>
      <c r="AR2" s="203">
        <v>0.39</v>
      </c>
      <c r="AS2" s="203">
        <v>0.4</v>
      </c>
      <c r="AT2" s="203">
        <v>0.41</v>
      </c>
      <c r="AU2" s="203">
        <v>0.42</v>
      </c>
      <c r="AV2" s="203">
        <v>0.43</v>
      </c>
      <c r="AW2" s="203">
        <v>0.44</v>
      </c>
      <c r="AX2" s="203">
        <v>0.45</v>
      </c>
      <c r="AY2" s="203">
        <v>0.46</v>
      </c>
      <c r="AZ2" s="203">
        <v>0.47</v>
      </c>
      <c r="BA2" s="203">
        <v>0.48</v>
      </c>
      <c r="BB2" s="203">
        <v>0.49</v>
      </c>
      <c r="BC2" s="203">
        <v>0.5</v>
      </c>
      <c r="BD2" s="203">
        <v>0.51</v>
      </c>
      <c r="BE2" s="203">
        <v>0.52</v>
      </c>
      <c r="BF2" s="203">
        <v>0.53</v>
      </c>
      <c r="BG2" s="203">
        <v>0.54</v>
      </c>
      <c r="BH2" s="203">
        <v>0.55000000000000004</v>
      </c>
      <c r="BI2" s="203">
        <v>0.56000000000000005</v>
      </c>
      <c r="BJ2" s="203">
        <v>0.56999999999999995</v>
      </c>
      <c r="BK2" s="203">
        <v>0.57999999999999996</v>
      </c>
      <c r="BL2" s="203">
        <v>0.59</v>
      </c>
      <c r="BM2" s="203">
        <v>0.6</v>
      </c>
      <c r="BN2" s="203">
        <v>0.61</v>
      </c>
      <c r="BO2" s="203">
        <v>0.62</v>
      </c>
      <c r="BP2" s="203">
        <v>0.63</v>
      </c>
      <c r="BQ2" s="203">
        <v>0.64</v>
      </c>
      <c r="BR2" s="203">
        <v>0.65</v>
      </c>
      <c r="BS2" s="203">
        <v>0.66</v>
      </c>
      <c r="BT2" s="203">
        <v>0.67</v>
      </c>
      <c r="BU2" s="203">
        <v>0.68</v>
      </c>
      <c r="BV2" s="203">
        <v>0.69</v>
      </c>
      <c r="BW2" s="203">
        <v>0.7</v>
      </c>
      <c r="BX2" s="203">
        <v>0.71</v>
      </c>
      <c r="BY2" s="203">
        <v>0.72</v>
      </c>
      <c r="BZ2" s="203">
        <v>0.73</v>
      </c>
      <c r="CA2" s="203">
        <v>0.74</v>
      </c>
      <c r="CB2" s="203">
        <v>0.75</v>
      </c>
      <c r="CC2" s="203">
        <v>0.76</v>
      </c>
      <c r="CD2" s="203">
        <v>0.77</v>
      </c>
      <c r="CE2" s="203">
        <v>0.78</v>
      </c>
      <c r="CF2" s="203">
        <v>0.79</v>
      </c>
      <c r="CG2" s="203">
        <v>0.8</v>
      </c>
      <c r="CH2" s="203">
        <v>0.81</v>
      </c>
      <c r="CI2" s="203">
        <v>0.82</v>
      </c>
      <c r="CJ2" s="203">
        <v>0.83</v>
      </c>
      <c r="CK2" s="203">
        <v>0.84</v>
      </c>
      <c r="CL2" s="203">
        <v>0.85</v>
      </c>
      <c r="CM2" s="203">
        <v>0.86</v>
      </c>
      <c r="CN2" s="203">
        <v>0.87</v>
      </c>
      <c r="CO2" s="203">
        <v>0.88</v>
      </c>
      <c r="CP2" s="203">
        <v>0.89</v>
      </c>
      <c r="CQ2" s="203">
        <v>0.9</v>
      </c>
      <c r="CR2" s="203">
        <v>0.91</v>
      </c>
      <c r="CS2" s="203">
        <v>0.92</v>
      </c>
      <c r="CT2" s="203">
        <v>0.93</v>
      </c>
      <c r="CU2" s="203">
        <v>0.94</v>
      </c>
      <c r="CV2" s="203">
        <v>0.95</v>
      </c>
      <c r="CW2" s="203">
        <v>0.96</v>
      </c>
      <c r="CX2" s="203">
        <v>0.97</v>
      </c>
      <c r="CY2" s="203">
        <v>0.98</v>
      </c>
      <c r="CZ2" s="203">
        <v>0.99</v>
      </c>
      <c r="DA2" s="203">
        <v>1</v>
      </c>
      <c r="DB2" s="203"/>
    </row>
    <row r="3" spans="1:106">
      <c r="A3" s="202" t="str">
        <f>Income!A72</f>
        <v>Own crops Consumed</v>
      </c>
      <c r="B3" s="204">
        <f>Income!B72</f>
        <v>1487.0145045438785</v>
      </c>
      <c r="C3" s="204">
        <f>Income!C72</f>
        <v>2307.2153332731605</v>
      </c>
      <c r="D3" s="204">
        <f>Income!D72</f>
        <v>2260.6404196139724</v>
      </c>
      <c r="E3" s="204">
        <f>Income!E72</f>
        <v>3458.8488009197026</v>
      </c>
      <c r="F3" s="205">
        <f>IF(F$2&lt;=($B$2+$C$2+$D$2),IF(F$2&lt;=($B$2+$C$2),IF(F$2&lt;=$B$2,$B3,$C3),$D3),$E3)</f>
        <v>1487.0145045438785</v>
      </c>
      <c r="G3" s="205">
        <f t="shared" ref="G3:AW7" si="0">IF(G$2&lt;=($B$2+$C$2+$D$2),IF(G$2&lt;=($B$2+$C$2),IF(G$2&lt;=$B$2,$B3,$C3),$D3),$E3)</f>
        <v>1487.0145045438785</v>
      </c>
      <c r="H3" s="205">
        <f t="shared" si="0"/>
        <v>1487.0145045438785</v>
      </c>
      <c r="I3" s="205">
        <f t="shared" si="0"/>
        <v>1487.0145045438785</v>
      </c>
      <c r="J3" s="205">
        <f t="shared" si="0"/>
        <v>1487.0145045438785</v>
      </c>
      <c r="K3" s="205">
        <f t="shared" si="0"/>
        <v>1487.0145045438785</v>
      </c>
      <c r="L3" s="205">
        <f t="shared" si="0"/>
        <v>1487.0145045438785</v>
      </c>
      <c r="M3" s="205">
        <f t="shared" si="0"/>
        <v>1487.0145045438785</v>
      </c>
      <c r="N3" s="205">
        <f t="shared" si="0"/>
        <v>1487.0145045438785</v>
      </c>
      <c r="O3" s="205">
        <f t="shared" si="0"/>
        <v>1487.0145045438785</v>
      </c>
      <c r="P3" s="205">
        <f t="shared" si="0"/>
        <v>1487.0145045438785</v>
      </c>
      <c r="Q3" s="205">
        <f t="shared" si="0"/>
        <v>1487.0145045438785</v>
      </c>
      <c r="R3" s="205">
        <f t="shared" si="0"/>
        <v>1487.0145045438785</v>
      </c>
      <c r="S3" s="205">
        <f t="shared" si="0"/>
        <v>1487.0145045438785</v>
      </c>
      <c r="T3" s="205">
        <f t="shared" si="0"/>
        <v>1487.0145045438785</v>
      </c>
      <c r="U3" s="205">
        <f t="shared" si="0"/>
        <v>1487.0145045438785</v>
      </c>
      <c r="V3" s="205">
        <f t="shared" si="0"/>
        <v>1487.0145045438785</v>
      </c>
      <c r="W3" s="205">
        <f t="shared" si="0"/>
        <v>1487.0145045438785</v>
      </c>
      <c r="X3" s="205">
        <f t="shared" si="0"/>
        <v>1487.0145045438785</v>
      </c>
      <c r="Y3" s="205">
        <f t="shared" si="0"/>
        <v>1487.0145045438785</v>
      </c>
      <c r="Z3" s="205">
        <f t="shared" si="0"/>
        <v>1487.0145045438785</v>
      </c>
      <c r="AA3" s="205">
        <f t="shared" si="0"/>
        <v>1487.0145045438785</v>
      </c>
      <c r="AB3" s="205">
        <f t="shared" si="0"/>
        <v>1487.0145045438785</v>
      </c>
      <c r="AC3" s="205">
        <f t="shared" si="0"/>
        <v>1487.0145045438785</v>
      </c>
      <c r="AD3" s="205">
        <f t="shared" si="0"/>
        <v>1487.0145045438785</v>
      </c>
      <c r="AE3" s="205">
        <f t="shared" si="0"/>
        <v>1487.0145045438785</v>
      </c>
      <c r="AF3" s="205">
        <f t="shared" si="0"/>
        <v>1487.0145045438785</v>
      </c>
      <c r="AG3" s="205">
        <f t="shared" si="0"/>
        <v>1487.0145045438785</v>
      </c>
      <c r="AH3" s="205">
        <f t="shared" si="0"/>
        <v>1487.0145045438785</v>
      </c>
      <c r="AI3" s="205">
        <f t="shared" si="0"/>
        <v>1487.0145045438785</v>
      </c>
      <c r="AJ3" s="205">
        <f t="shared" si="0"/>
        <v>1487.0145045438785</v>
      </c>
      <c r="AK3" s="205">
        <f t="shared" si="0"/>
        <v>1487.0145045438785</v>
      </c>
      <c r="AL3" s="205">
        <f t="shared" si="0"/>
        <v>1487.0145045438785</v>
      </c>
      <c r="AM3" s="205">
        <f t="shared" si="0"/>
        <v>1487.0145045438785</v>
      </c>
      <c r="AN3" s="205">
        <f t="shared" si="0"/>
        <v>1487.0145045438785</v>
      </c>
      <c r="AO3" s="205">
        <f t="shared" si="0"/>
        <v>1487.0145045438785</v>
      </c>
      <c r="AP3" s="205">
        <f t="shared" si="0"/>
        <v>1487.0145045438785</v>
      </c>
      <c r="AQ3" s="205">
        <f t="shared" si="0"/>
        <v>1487.0145045438785</v>
      </c>
      <c r="AR3" s="205">
        <f t="shared" si="0"/>
        <v>1487.0145045438785</v>
      </c>
      <c r="AS3" s="205">
        <f t="shared" si="0"/>
        <v>1487.0145045438785</v>
      </c>
      <c r="AT3" s="205">
        <f t="shared" si="0"/>
        <v>1487.0145045438785</v>
      </c>
      <c r="AU3" s="205">
        <f t="shared" si="0"/>
        <v>1487.0145045438785</v>
      </c>
      <c r="AV3" s="205">
        <f t="shared" si="0"/>
        <v>1487.0145045438785</v>
      </c>
      <c r="AW3" s="205">
        <f t="shared" si="0"/>
        <v>1487.0145045438785</v>
      </c>
      <c r="AX3" s="205">
        <f t="shared" ref="AX3:BZ10" si="1">IF(AX$2&lt;=($B$2+$C$2+$D$2),IF(AX$2&lt;=($B$2+$C$2),IF(AX$2&lt;=$B$2,$B3,$C3),$D3),$E3)</f>
        <v>1487.0145045438785</v>
      </c>
      <c r="AY3" s="205">
        <f t="shared" si="1"/>
        <v>1487.0145045438785</v>
      </c>
      <c r="AZ3" s="205">
        <f t="shared" si="1"/>
        <v>1487.0145045438785</v>
      </c>
      <c r="BA3" s="205">
        <f t="shared" si="1"/>
        <v>1487.0145045438785</v>
      </c>
      <c r="BB3" s="205">
        <f t="shared" si="1"/>
        <v>1487.0145045438785</v>
      </c>
      <c r="BC3" s="205">
        <f t="shared" si="1"/>
        <v>3458.8488009197026</v>
      </c>
      <c r="BD3" s="205">
        <f t="shared" si="1"/>
        <v>3458.8488009197026</v>
      </c>
      <c r="BE3" s="205">
        <f t="shared" si="1"/>
        <v>3458.8488009197026</v>
      </c>
      <c r="BF3" s="205">
        <f t="shared" si="1"/>
        <v>3458.8488009197026</v>
      </c>
      <c r="BG3" s="205">
        <f t="shared" si="1"/>
        <v>3458.8488009197026</v>
      </c>
      <c r="BH3" s="205">
        <f t="shared" si="1"/>
        <v>3458.8488009197026</v>
      </c>
      <c r="BI3" s="205">
        <f t="shared" si="1"/>
        <v>3458.8488009197026</v>
      </c>
      <c r="BJ3" s="205">
        <f t="shared" si="1"/>
        <v>3458.8488009197026</v>
      </c>
      <c r="BK3" s="205">
        <f t="shared" si="1"/>
        <v>3458.8488009197026</v>
      </c>
      <c r="BL3" s="205">
        <f t="shared" si="1"/>
        <v>3458.8488009197026</v>
      </c>
      <c r="BM3" s="205">
        <f t="shared" si="1"/>
        <v>3458.8488009197026</v>
      </c>
      <c r="BN3" s="205">
        <f t="shared" si="1"/>
        <v>3458.8488009197026</v>
      </c>
      <c r="BO3" s="205">
        <f t="shared" si="1"/>
        <v>3458.8488009197026</v>
      </c>
      <c r="BP3" s="205">
        <f t="shared" si="1"/>
        <v>3458.8488009197026</v>
      </c>
      <c r="BQ3" s="205">
        <f t="shared" si="1"/>
        <v>3458.8488009197026</v>
      </c>
      <c r="BR3" s="205">
        <f t="shared" si="1"/>
        <v>3458.8488009197026</v>
      </c>
      <c r="BS3" s="205">
        <f t="shared" si="1"/>
        <v>3458.8488009197026</v>
      </c>
      <c r="BT3" s="205">
        <f t="shared" si="1"/>
        <v>3458.8488009197026</v>
      </c>
      <c r="BU3" s="205">
        <f t="shared" si="1"/>
        <v>3458.8488009197026</v>
      </c>
      <c r="BV3" s="205">
        <f t="shared" si="1"/>
        <v>3458.8488009197026</v>
      </c>
      <c r="BW3" s="205">
        <f t="shared" si="1"/>
        <v>3458.8488009197026</v>
      </c>
      <c r="BX3" s="205">
        <f t="shared" si="1"/>
        <v>3458.8488009197026</v>
      </c>
      <c r="BY3" s="205">
        <f t="shared" si="1"/>
        <v>3458.8488009197026</v>
      </c>
      <c r="BZ3" s="205">
        <f t="shared" si="1"/>
        <v>3458.8488009197026</v>
      </c>
      <c r="CA3" s="205">
        <f t="shared" ref="CA3:CR15" si="2">IF(CA$2&lt;=($B$2+$C$2+$D$2),IF(CA$2&lt;=($B$2+$C$2),IF(CA$2&lt;=$B$2,$B3,$C3),$D3),$E3)</f>
        <v>3458.8488009197026</v>
      </c>
      <c r="CB3" s="205">
        <f t="shared" si="2"/>
        <v>3458.8488009197026</v>
      </c>
      <c r="CC3" s="205">
        <f t="shared" si="2"/>
        <v>3458.8488009197026</v>
      </c>
      <c r="CD3" s="205">
        <f t="shared" si="2"/>
        <v>3458.8488009197026</v>
      </c>
      <c r="CE3" s="205">
        <f t="shared" si="2"/>
        <v>3458.8488009197026</v>
      </c>
      <c r="CF3" s="205">
        <f t="shared" si="2"/>
        <v>3458.8488009197026</v>
      </c>
      <c r="CG3" s="205">
        <f t="shared" si="2"/>
        <v>3458.8488009197026</v>
      </c>
      <c r="CH3" s="205">
        <f t="shared" si="2"/>
        <v>3458.8488009197026</v>
      </c>
      <c r="CI3" s="205">
        <f t="shared" si="2"/>
        <v>3458.8488009197026</v>
      </c>
      <c r="CJ3" s="205">
        <f t="shared" si="2"/>
        <v>3458.8488009197026</v>
      </c>
      <c r="CK3" s="205">
        <f t="shared" si="2"/>
        <v>3458.8488009197026</v>
      </c>
      <c r="CL3" s="205">
        <f t="shared" si="2"/>
        <v>3458.8488009197026</v>
      </c>
      <c r="CM3" s="205">
        <f t="shared" si="2"/>
        <v>3458.8488009197026</v>
      </c>
      <c r="CN3" s="205">
        <f t="shared" si="2"/>
        <v>3458.8488009197026</v>
      </c>
      <c r="CO3" s="205">
        <f t="shared" si="2"/>
        <v>3458.8488009197026</v>
      </c>
      <c r="CP3" s="205">
        <f t="shared" si="2"/>
        <v>3458.8488009197026</v>
      </c>
      <c r="CQ3" s="205">
        <f t="shared" si="2"/>
        <v>3458.8488009197026</v>
      </c>
      <c r="CR3" s="205">
        <f t="shared" si="2"/>
        <v>3458.8488009197026</v>
      </c>
      <c r="CS3" s="205">
        <f t="shared" ref="CS3:DA15" si="3">IF(CS$2&lt;=($B$2+$C$2+$D$2),IF(CS$2&lt;=($B$2+$C$2),IF(CS$2&lt;=$B$2,$B3,$C3),$D3),$E3)</f>
        <v>3458.8488009197026</v>
      </c>
      <c r="CT3" s="205">
        <f t="shared" si="3"/>
        <v>3458.8488009197026</v>
      </c>
      <c r="CU3" s="205">
        <f t="shared" si="3"/>
        <v>3458.8488009197026</v>
      </c>
      <c r="CV3" s="205">
        <f t="shared" si="3"/>
        <v>3458.8488009197026</v>
      </c>
      <c r="CW3" s="205">
        <f t="shared" si="3"/>
        <v>3458.8488009197026</v>
      </c>
      <c r="CX3" s="205">
        <f t="shared" si="3"/>
        <v>3458.8488009197026</v>
      </c>
      <c r="CY3" s="205">
        <f t="shared" si="3"/>
        <v>3458.8488009197026</v>
      </c>
      <c r="CZ3" s="205">
        <f t="shared" si="3"/>
        <v>3458.8488009197026</v>
      </c>
      <c r="DA3" s="205">
        <f t="shared" si="3"/>
        <v>3458.8488009197026</v>
      </c>
      <c r="DB3" s="205"/>
    </row>
    <row r="4" spans="1:106">
      <c r="A4" s="202" t="str">
        <f>Income!A73</f>
        <v>Own crops sold</v>
      </c>
      <c r="B4" s="204">
        <f>Income!B73</f>
        <v>0</v>
      </c>
      <c r="C4" s="204">
        <f>Income!C73</f>
        <v>0</v>
      </c>
      <c r="D4" s="204">
        <f>Income!D73</f>
        <v>168.00000000000003</v>
      </c>
      <c r="E4" s="204">
        <f>Income!E73</f>
        <v>18345.600000000002</v>
      </c>
      <c r="F4" s="205">
        <f t="shared" ref="F4:U17" si="4">IF(F$2&lt;=($B$2+$C$2+$D$2),IF(F$2&lt;=($B$2+$C$2),IF(F$2&lt;=$B$2,$B4,$C4),$D4),$E4)</f>
        <v>0</v>
      </c>
      <c r="G4" s="205">
        <f t="shared" si="0"/>
        <v>0</v>
      </c>
      <c r="H4" s="205">
        <f t="shared" si="0"/>
        <v>0</v>
      </c>
      <c r="I4" s="205">
        <f t="shared" si="0"/>
        <v>0</v>
      </c>
      <c r="J4" s="205">
        <f t="shared" si="0"/>
        <v>0</v>
      </c>
      <c r="K4" s="205">
        <f t="shared" si="0"/>
        <v>0</v>
      </c>
      <c r="L4" s="205">
        <f t="shared" si="0"/>
        <v>0</v>
      </c>
      <c r="M4" s="205">
        <f t="shared" si="0"/>
        <v>0</v>
      </c>
      <c r="N4" s="205">
        <f t="shared" si="0"/>
        <v>0</v>
      </c>
      <c r="O4" s="205">
        <f t="shared" si="0"/>
        <v>0</v>
      </c>
      <c r="P4" s="205">
        <f t="shared" si="0"/>
        <v>0</v>
      </c>
      <c r="Q4" s="205">
        <f t="shared" si="0"/>
        <v>0</v>
      </c>
      <c r="R4" s="205">
        <f t="shared" si="0"/>
        <v>0</v>
      </c>
      <c r="S4" s="205">
        <f t="shared" si="0"/>
        <v>0</v>
      </c>
      <c r="T4" s="205">
        <f t="shared" si="0"/>
        <v>0</v>
      </c>
      <c r="U4" s="205">
        <f t="shared" si="0"/>
        <v>0</v>
      </c>
      <c r="V4" s="205">
        <f t="shared" si="0"/>
        <v>0</v>
      </c>
      <c r="W4" s="205">
        <f t="shared" si="0"/>
        <v>0</v>
      </c>
      <c r="X4" s="205">
        <f t="shared" si="0"/>
        <v>0</v>
      </c>
      <c r="Y4" s="205">
        <f t="shared" si="0"/>
        <v>0</v>
      </c>
      <c r="Z4" s="205">
        <f t="shared" si="0"/>
        <v>0</v>
      </c>
      <c r="AA4" s="205">
        <f t="shared" si="0"/>
        <v>0</v>
      </c>
      <c r="AB4" s="205">
        <f t="shared" si="0"/>
        <v>0</v>
      </c>
      <c r="AC4" s="205">
        <f t="shared" si="0"/>
        <v>0</v>
      </c>
      <c r="AD4" s="205">
        <f t="shared" si="0"/>
        <v>0</v>
      </c>
      <c r="AE4" s="205">
        <f t="shared" si="0"/>
        <v>0</v>
      </c>
      <c r="AF4" s="205">
        <f t="shared" si="0"/>
        <v>0</v>
      </c>
      <c r="AG4" s="205">
        <f t="shared" si="0"/>
        <v>0</v>
      </c>
      <c r="AH4" s="205">
        <f t="shared" si="0"/>
        <v>0</v>
      </c>
      <c r="AI4" s="205">
        <f t="shared" si="0"/>
        <v>0</v>
      </c>
      <c r="AJ4" s="205">
        <f t="shared" si="0"/>
        <v>0</v>
      </c>
      <c r="AK4" s="205">
        <f t="shared" si="0"/>
        <v>0</v>
      </c>
      <c r="AL4" s="205">
        <f t="shared" si="0"/>
        <v>0</v>
      </c>
      <c r="AM4" s="205">
        <f t="shared" si="0"/>
        <v>0</v>
      </c>
      <c r="AN4" s="205">
        <f t="shared" si="0"/>
        <v>0</v>
      </c>
      <c r="AO4" s="205">
        <f t="shared" si="0"/>
        <v>0</v>
      </c>
      <c r="AP4" s="205">
        <f t="shared" si="0"/>
        <v>0</v>
      </c>
      <c r="AQ4" s="205">
        <f t="shared" si="0"/>
        <v>0</v>
      </c>
      <c r="AR4" s="205">
        <f t="shared" si="0"/>
        <v>0</v>
      </c>
      <c r="AS4" s="205">
        <f t="shared" si="0"/>
        <v>0</v>
      </c>
      <c r="AT4" s="205">
        <f t="shared" si="0"/>
        <v>0</v>
      </c>
      <c r="AU4" s="205">
        <f t="shared" si="0"/>
        <v>0</v>
      </c>
      <c r="AV4" s="205">
        <f t="shared" si="0"/>
        <v>0</v>
      </c>
      <c r="AW4" s="205">
        <f t="shared" si="0"/>
        <v>0</v>
      </c>
      <c r="AX4" s="205">
        <f t="shared" si="1"/>
        <v>0</v>
      </c>
      <c r="AY4" s="205">
        <f t="shared" si="1"/>
        <v>0</v>
      </c>
      <c r="AZ4" s="205">
        <f t="shared" si="1"/>
        <v>0</v>
      </c>
      <c r="BA4" s="205">
        <f t="shared" si="1"/>
        <v>0</v>
      </c>
      <c r="BB4" s="205">
        <f t="shared" si="1"/>
        <v>0</v>
      </c>
      <c r="BC4" s="205">
        <f t="shared" si="1"/>
        <v>18345.600000000002</v>
      </c>
      <c r="BD4" s="205">
        <f t="shared" si="1"/>
        <v>18345.600000000002</v>
      </c>
      <c r="BE4" s="205">
        <f t="shared" si="1"/>
        <v>18345.600000000002</v>
      </c>
      <c r="BF4" s="205">
        <f t="shared" si="1"/>
        <v>18345.600000000002</v>
      </c>
      <c r="BG4" s="205">
        <f t="shared" si="1"/>
        <v>18345.600000000002</v>
      </c>
      <c r="BH4" s="205">
        <f t="shared" si="1"/>
        <v>18345.600000000002</v>
      </c>
      <c r="BI4" s="205">
        <f t="shared" si="1"/>
        <v>18345.600000000002</v>
      </c>
      <c r="BJ4" s="205">
        <f t="shared" si="1"/>
        <v>18345.600000000002</v>
      </c>
      <c r="BK4" s="205">
        <f t="shared" si="1"/>
        <v>18345.600000000002</v>
      </c>
      <c r="BL4" s="205">
        <f t="shared" si="1"/>
        <v>18345.600000000002</v>
      </c>
      <c r="BM4" s="205">
        <f t="shared" si="1"/>
        <v>18345.600000000002</v>
      </c>
      <c r="BN4" s="205">
        <f t="shared" si="1"/>
        <v>18345.600000000002</v>
      </c>
      <c r="BO4" s="205">
        <f t="shared" si="1"/>
        <v>18345.600000000002</v>
      </c>
      <c r="BP4" s="205">
        <f t="shared" si="1"/>
        <v>18345.600000000002</v>
      </c>
      <c r="BQ4" s="205">
        <f t="shared" si="1"/>
        <v>18345.600000000002</v>
      </c>
      <c r="BR4" s="205">
        <f t="shared" si="1"/>
        <v>18345.600000000002</v>
      </c>
      <c r="BS4" s="205">
        <f t="shared" si="1"/>
        <v>18345.600000000002</v>
      </c>
      <c r="BT4" s="205">
        <f t="shared" si="1"/>
        <v>18345.600000000002</v>
      </c>
      <c r="BU4" s="205">
        <f t="shared" si="1"/>
        <v>18345.600000000002</v>
      </c>
      <c r="BV4" s="205">
        <f t="shared" si="1"/>
        <v>18345.600000000002</v>
      </c>
      <c r="BW4" s="205">
        <f t="shared" si="1"/>
        <v>18345.600000000002</v>
      </c>
      <c r="BX4" s="205">
        <f t="shared" si="1"/>
        <v>18345.600000000002</v>
      </c>
      <c r="BY4" s="205">
        <f t="shared" si="1"/>
        <v>18345.600000000002</v>
      </c>
      <c r="BZ4" s="205">
        <f t="shared" si="1"/>
        <v>18345.600000000002</v>
      </c>
      <c r="CA4" s="205">
        <f t="shared" si="2"/>
        <v>18345.600000000002</v>
      </c>
      <c r="CB4" s="205">
        <f t="shared" si="2"/>
        <v>18345.600000000002</v>
      </c>
      <c r="CC4" s="205">
        <f t="shared" si="2"/>
        <v>18345.600000000002</v>
      </c>
      <c r="CD4" s="205">
        <f t="shared" si="2"/>
        <v>18345.600000000002</v>
      </c>
      <c r="CE4" s="205">
        <f t="shared" si="2"/>
        <v>18345.600000000002</v>
      </c>
      <c r="CF4" s="205">
        <f t="shared" si="2"/>
        <v>18345.600000000002</v>
      </c>
      <c r="CG4" s="205">
        <f t="shared" si="2"/>
        <v>18345.600000000002</v>
      </c>
      <c r="CH4" s="205">
        <f t="shared" si="2"/>
        <v>18345.600000000002</v>
      </c>
      <c r="CI4" s="205">
        <f t="shared" si="2"/>
        <v>18345.600000000002</v>
      </c>
      <c r="CJ4" s="205">
        <f t="shared" si="2"/>
        <v>18345.600000000002</v>
      </c>
      <c r="CK4" s="205">
        <f t="shared" si="2"/>
        <v>18345.600000000002</v>
      </c>
      <c r="CL4" s="205">
        <f t="shared" si="2"/>
        <v>18345.600000000002</v>
      </c>
      <c r="CM4" s="205">
        <f t="shared" si="2"/>
        <v>18345.600000000002</v>
      </c>
      <c r="CN4" s="205">
        <f t="shared" si="2"/>
        <v>18345.600000000002</v>
      </c>
      <c r="CO4" s="205">
        <f t="shared" si="2"/>
        <v>18345.600000000002</v>
      </c>
      <c r="CP4" s="205">
        <f t="shared" si="2"/>
        <v>18345.600000000002</v>
      </c>
      <c r="CQ4" s="205">
        <f t="shared" si="2"/>
        <v>18345.600000000002</v>
      </c>
      <c r="CR4" s="205">
        <f t="shared" si="2"/>
        <v>18345.600000000002</v>
      </c>
      <c r="CS4" s="205">
        <f t="shared" si="3"/>
        <v>18345.600000000002</v>
      </c>
      <c r="CT4" s="205">
        <f t="shared" si="3"/>
        <v>18345.600000000002</v>
      </c>
      <c r="CU4" s="205">
        <f t="shared" si="3"/>
        <v>18345.600000000002</v>
      </c>
      <c r="CV4" s="205">
        <f t="shared" si="3"/>
        <v>18345.600000000002</v>
      </c>
      <c r="CW4" s="205">
        <f t="shared" si="3"/>
        <v>18345.600000000002</v>
      </c>
      <c r="CX4" s="205">
        <f t="shared" si="3"/>
        <v>18345.600000000002</v>
      </c>
      <c r="CY4" s="205">
        <f t="shared" si="3"/>
        <v>18345.600000000002</v>
      </c>
      <c r="CZ4" s="205">
        <f t="shared" si="3"/>
        <v>18345.600000000002</v>
      </c>
      <c r="DA4" s="205">
        <f t="shared" si="3"/>
        <v>18345.600000000002</v>
      </c>
      <c r="DB4" s="205"/>
    </row>
    <row r="5" spans="1:106">
      <c r="A5" s="202" t="str">
        <f>Income!A74</f>
        <v>Animal products consumed</v>
      </c>
      <c r="B5" s="204">
        <f>Income!B74</f>
        <v>0</v>
      </c>
      <c r="C5" s="204">
        <f>Income!C74</f>
        <v>22.602112558965903</v>
      </c>
      <c r="D5" s="204">
        <f>Income!D74</f>
        <v>938.42932167237541</v>
      </c>
      <c r="E5" s="204">
        <f>Income!E74</f>
        <v>1530.3594248062977</v>
      </c>
      <c r="F5" s="205">
        <f t="shared" si="4"/>
        <v>0</v>
      </c>
      <c r="G5" s="205">
        <f t="shared" si="0"/>
        <v>0</v>
      </c>
      <c r="H5" s="205">
        <f t="shared" si="0"/>
        <v>0</v>
      </c>
      <c r="I5" s="205">
        <f t="shared" si="0"/>
        <v>0</v>
      </c>
      <c r="J5" s="205">
        <f t="shared" si="0"/>
        <v>0</v>
      </c>
      <c r="K5" s="205">
        <f t="shared" si="0"/>
        <v>0</v>
      </c>
      <c r="L5" s="205">
        <f t="shared" si="0"/>
        <v>0</v>
      </c>
      <c r="M5" s="205">
        <f t="shared" si="0"/>
        <v>0</v>
      </c>
      <c r="N5" s="205">
        <f t="shared" si="0"/>
        <v>0</v>
      </c>
      <c r="O5" s="205">
        <f t="shared" si="0"/>
        <v>0</v>
      </c>
      <c r="P5" s="205">
        <f t="shared" si="0"/>
        <v>0</v>
      </c>
      <c r="Q5" s="205">
        <f t="shared" si="0"/>
        <v>0</v>
      </c>
      <c r="R5" s="205">
        <f t="shared" si="0"/>
        <v>0</v>
      </c>
      <c r="S5" s="205">
        <f t="shared" si="0"/>
        <v>0</v>
      </c>
      <c r="T5" s="205">
        <f t="shared" si="0"/>
        <v>0</v>
      </c>
      <c r="U5" s="205">
        <f t="shared" si="0"/>
        <v>0</v>
      </c>
      <c r="V5" s="205">
        <f t="shared" si="0"/>
        <v>0</v>
      </c>
      <c r="W5" s="205">
        <f t="shared" si="0"/>
        <v>0</v>
      </c>
      <c r="X5" s="205">
        <f t="shared" si="0"/>
        <v>0</v>
      </c>
      <c r="Y5" s="205">
        <f t="shared" si="0"/>
        <v>0</v>
      </c>
      <c r="Z5" s="205">
        <f t="shared" si="0"/>
        <v>0</v>
      </c>
      <c r="AA5" s="205">
        <f t="shared" si="0"/>
        <v>0</v>
      </c>
      <c r="AB5" s="205">
        <f t="shared" si="0"/>
        <v>0</v>
      </c>
      <c r="AC5" s="205">
        <f t="shared" si="0"/>
        <v>0</v>
      </c>
      <c r="AD5" s="205">
        <f t="shared" si="0"/>
        <v>0</v>
      </c>
      <c r="AE5" s="205">
        <f t="shared" si="0"/>
        <v>0</v>
      </c>
      <c r="AF5" s="205">
        <f t="shared" si="0"/>
        <v>0</v>
      </c>
      <c r="AG5" s="205">
        <f t="shared" si="0"/>
        <v>0</v>
      </c>
      <c r="AH5" s="205">
        <f t="shared" si="0"/>
        <v>0</v>
      </c>
      <c r="AI5" s="205">
        <f t="shared" si="0"/>
        <v>0</v>
      </c>
      <c r="AJ5" s="205">
        <f t="shared" si="0"/>
        <v>0</v>
      </c>
      <c r="AK5" s="205">
        <f t="shared" si="0"/>
        <v>0</v>
      </c>
      <c r="AL5" s="205">
        <f t="shared" si="0"/>
        <v>0</v>
      </c>
      <c r="AM5" s="205">
        <f t="shared" si="0"/>
        <v>0</v>
      </c>
      <c r="AN5" s="205">
        <f t="shared" si="0"/>
        <v>0</v>
      </c>
      <c r="AO5" s="205">
        <f t="shared" si="0"/>
        <v>0</v>
      </c>
      <c r="AP5" s="205">
        <f t="shared" si="0"/>
        <v>0</v>
      </c>
      <c r="AQ5" s="205">
        <f t="shared" si="0"/>
        <v>0</v>
      </c>
      <c r="AR5" s="205">
        <f t="shared" si="0"/>
        <v>0</v>
      </c>
      <c r="AS5" s="205">
        <f t="shared" si="0"/>
        <v>0</v>
      </c>
      <c r="AT5" s="205">
        <f t="shared" si="0"/>
        <v>0</v>
      </c>
      <c r="AU5" s="205">
        <f t="shared" si="0"/>
        <v>0</v>
      </c>
      <c r="AV5" s="205">
        <f t="shared" si="0"/>
        <v>0</v>
      </c>
      <c r="AW5" s="205">
        <f t="shared" si="0"/>
        <v>0</v>
      </c>
      <c r="AX5" s="205">
        <f t="shared" si="1"/>
        <v>0</v>
      </c>
      <c r="AY5" s="205">
        <f t="shared" si="1"/>
        <v>0</v>
      </c>
      <c r="AZ5" s="205">
        <f t="shared" si="1"/>
        <v>0</v>
      </c>
      <c r="BA5" s="205">
        <f t="shared" si="1"/>
        <v>0</v>
      </c>
      <c r="BB5" s="205">
        <f t="shared" si="1"/>
        <v>0</v>
      </c>
      <c r="BC5" s="205">
        <f t="shared" si="1"/>
        <v>1530.3594248062977</v>
      </c>
      <c r="BD5" s="205">
        <f t="shared" si="1"/>
        <v>1530.3594248062977</v>
      </c>
      <c r="BE5" s="205">
        <f t="shared" si="1"/>
        <v>1530.3594248062977</v>
      </c>
      <c r="BF5" s="205">
        <f t="shared" si="1"/>
        <v>1530.3594248062977</v>
      </c>
      <c r="BG5" s="205">
        <f t="shared" si="1"/>
        <v>1530.3594248062977</v>
      </c>
      <c r="BH5" s="205">
        <f t="shared" si="1"/>
        <v>1530.3594248062977</v>
      </c>
      <c r="BI5" s="205">
        <f t="shared" si="1"/>
        <v>1530.3594248062977</v>
      </c>
      <c r="BJ5" s="205">
        <f t="shared" si="1"/>
        <v>1530.3594248062977</v>
      </c>
      <c r="BK5" s="205">
        <f t="shared" si="1"/>
        <v>1530.3594248062977</v>
      </c>
      <c r="BL5" s="205">
        <f t="shared" si="1"/>
        <v>1530.3594248062977</v>
      </c>
      <c r="BM5" s="205">
        <f t="shared" si="1"/>
        <v>1530.3594248062977</v>
      </c>
      <c r="BN5" s="205">
        <f t="shared" si="1"/>
        <v>1530.3594248062977</v>
      </c>
      <c r="BO5" s="205">
        <f t="shared" si="1"/>
        <v>1530.3594248062977</v>
      </c>
      <c r="BP5" s="205">
        <f t="shared" si="1"/>
        <v>1530.3594248062977</v>
      </c>
      <c r="BQ5" s="205">
        <f t="shared" si="1"/>
        <v>1530.3594248062977</v>
      </c>
      <c r="BR5" s="205">
        <f t="shared" si="1"/>
        <v>1530.3594248062977</v>
      </c>
      <c r="BS5" s="205">
        <f t="shared" si="1"/>
        <v>1530.3594248062977</v>
      </c>
      <c r="BT5" s="205">
        <f t="shared" si="1"/>
        <v>1530.3594248062977</v>
      </c>
      <c r="BU5" s="205">
        <f t="shared" si="1"/>
        <v>1530.3594248062977</v>
      </c>
      <c r="BV5" s="205">
        <f t="shared" si="1"/>
        <v>1530.3594248062977</v>
      </c>
      <c r="BW5" s="205">
        <f t="shared" si="1"/>
        <v>1530.3594248062977</v>
      </c>
      <c r="BX5" s="205">
        <f t="shared" si="1"/>
        <v>1530.3594248062977</v>
      </c>
      <c r="BY5" s="205">
        <f t="shared" si="1"/>
        <v>1530.3594248062977</v>
      </c>
      <c r="BZ5" s="205">
        <f t="shared" si="1"/>
        <v>1530.3594248062977</v>
      </c>
      <c r="CA5" s="205">
        <f t="shared" si="2"/>
        <v>1530.3594248062977</v>
      </c>
      <c r="CB5" s="205">
        <f t="shared" si="2"/>
        <v>1530.3594248062977</v>
      </c>
      <c r="CC5" s="205">
        <f t="shared" si="2"/>
        <v>1530.3594248062977</v>
      </c>
      <c r="CD5" s="205">
        <f t="shared" si="2"/>
        <v>1530.3594248062977</v>
      </c>
      <c r="CE5" s="205">
        <f t="shared" si="2"/>
        <v>1530.3594248062977</v>
      </c>
      <c r="CF5" s="205">
        <f t="shared" si="2"/>
        <v>1530.3594248062977</v>
      </c>
      <c r="CG5" s="205">
        <f t="shared" si="2"/>
        <v>1530.3594248062977</v>
      </c>
      <c r="CH5" s="205">
        <f t="shared" si="2"/>
        <v>1530.3594248062977</v>
      </c>
      <c r="CI5" s="205">
        <f t="shared" si="2"/>
        <v>1530.3594248062977</v>
      </c>
      <c r="CJ5" s="205">
        <f t="shared" si="2"/>
        <v>1530.3594248062977</v>
      </c>
      <c r="CK5" s="205">
        <f t="shared" si="2"/>
        <v>1530.3594248062977</v>
      </c>
      <c r="CL5" s="205">
        <f t="shared" si="2"/>
        <v>1530.3594248062977</v>
      </c>
      <c r="CM5" s="205">
        <f t="shared" si="2"/>
        <v>1530.3594248062977</v>
      </c>
      <c r="CN5" s="205">
        <f t="shared" si="2"/>
        <v>1530.3594248062977</v>
      </c>
      <c r="CO5" s="205">
        <f t="shared" si="2"/>
        <v>1530.3594248062977</v>
      </c>
      <c r="CP5" s="205">
        <f t="shared" si="2"/>
        <v>1530.3594248062977</v>
      </c>
      <c r="CQ5" s="205">
        <f t="shared" si="2"/>
        <v>1530.3594248062977</v>
      </c>
      <c r="CR5" s="205">
        <f t="shared" si="2"/>
        <v>1530.3594248062977</v>
      </c>
      <c r="CS5" s="205">
        <f t="shared" si="3"/>
        <v>1530.3594248062977</v>
      </c>
      <c r="CT5" s="205">
        <f t="shared" si="3"/>
        <v>1530.3594248062977</v>
      </c>
      <c r="CU5" s="205">
        <f t="shared" si="3"/>
        <v>1530.3594248062977</v>
      </c>
      <c r="CV5" s="205">
        <f t="shared" si="3"/>
        <v>1530.3594248062977</v>
      </c>
      <c r="CW5" s="205">
        <f t="shared" si="3"/>
        <v>1530.3594248062977</v>
      </c>
      <c r="CX5" s="205">
        <f t="shared" si="3"/>
        <v>1530.3594248062977</v>
      </c>
      <c r="CY5" s="205">
        <f t="shared" si="3"/>
        <v>1530.3594248062977</v>
      </c>
      <c r="CZ5" s="205">
        <f t="shared" si="3"/>
        <v>1530.3594248062977</v>
      </c>
      <c r="DA5" s="205">
        <f t="shared" si="3"/>
        <v>1530.3594248062977</v>
      </c>
      <c r="DB5" s="205"/>
    </row>
    <row r="6" spans="1:106">
      <c r="A6" s="202" t="str">
        <f>Income!A75</f>
        <v>Animal products sold</v>
      </c>
      <c r="B6" s="204">
        <f>Income!B75</f>
        <v>0</v>
      </c>
      <c r="C6" s="204">
        <f>Income!C75</f>
        <v>0</v>
      </c>
      <c r="D6" s="204">
        <f>Income!D75</f>
        <v>0</v>
      </c>
      <c r="E6" s="204">
        <f>Income!E75</f>
        <v>0</v>
      </c>
      <c r="F6" s="205">
        <f t="shared" si="4"/>
        <v>0</v>
      </c>
      <c r="G6" s="205">
        <f t="shared" si="0"/>
        <v>0</v>
      </c>
      <c r="H6" s="205">
        <f t="shared" si="0"/>
        <v>0</v>
      </c>
      <c r="I6" s="205">
        <f t="shared" si="0"/>
        <v>0</v>
      </c>
      <c r="J6" s="205">
        <f t="shared" si="0"/>
        <v>0</v>
      </c>
      <c r="K6" s="205">
        <f t="shared" si="0"/>
        <v>0</v>
      </c>
      <c r="L6" s="205">
        <f t="shared" si="0"/>
        <v>0</v>
      </c>
      <c r="M6" s="205">
        <f t="shared" si="0"/>
        <v>0</v>
      </c>
      <c r="N6" s="205">
        <f t="shared" si="0"/>
        <v>0</v>
      </c>
      <c r="O6" s="205">
        <f t="shared" si="0"/>
        <v>0</v>
      </c>
      <c r="P6" s="205">
        <f t="shared" si="0"/>
        <v>0</v>
      </c>
      <c r="Q6" s="205">
        <f t="shared" si="0"/>
        <v>0</v>
      </c>
      <c r="R6" s="205">
        <f t="shared" si="0"/>
        <v>0</v>
      </c>
      <c r="S6" s="205">
        <f t="shared" si="0"/>
        <v>0</v>
      </c>
      <c r="T6" s="205">
        <f t="shared" si="0"/>
        <v>0</v>
      </c>
      <c r="U6" s="205">
        <f t="shared" si="0"/>
        <v>0</v>
      </c>
      <c r="V6" s="205">
        <f t="shared" si="0"/>
        <v>0</v>
      </c>
      <c r="W6" s="205">
        <f t="shared" si="0"/>
        <v>0</v>
      </c>
      <c r="X6" s="205">
        <f t="shared" si="0"/>
        <v>0</v>
      </c>
      <c r="Y6" s="205">
        <f t="shared" si="0"/>
        <v>0</v>
      </c>
      <c r="Z6" s="205">
        <f t="shared" si="0"/>
        <v>0</v>
      </c>
      <c r="AA6" s="205">
        <f t="shared" si="0"/>
        <v>0</v>
      </c>
      <c r="AB6" s="205">
        <f t="shared" si="0"/>
        <v>0</v>
      </c>
      <c r="AC6" s="205">
        <f t="shared" si="0"/>
        <v>0</v>
      </c>
      <c r="AD6" s="205">
        <f t="shared" si="0"/>
        <v>0</v>
      </c>
      <c r="AE6" s="205">
        <f t="shared" si="0"/>
        <v>0</v>
      </c>
      <c r="AF6" s="205">
        <f t="shared" si="0"/>
        <v>0</v>
      </c>
      <c r="AG6" s="205">
        <f t="shared" si="0"/>
        <v>0</v>
      </c>
      <c r="AH6" s="205">
        <f t="shared" si="0"/>
        <v>0</v>
      </c>
      <c r="AI6" s="205">
        <f t="shared" si="0"/>
        <v>0</v>
      </c>
      <c r="AJ6" s="205">
        <f t="shared" si="0"/>
        <v>0</v>
      </c>
      <c r="AK6" s="205">
        <f t="shared" si="0"/>
        <v>0</v>
      </c>
      <c r="AL6" s="205">
        <f t="shared" si="0"/>
        <v>0</v>
      </c>
      <c r="AM6" s="205">
        <f t="shared" si="0"/>
        <v>0</v>
      </c>
      <c r="AN6" s="205">
        <f t="shared" si="0"/>
        <v>0</v>
      </c>
      <c r="AO6" s="205">
        <f t="shared" si="0"/>
        <v>0</v>
      </c>
      <c r="AP6" s="205">
        <f t="shared" si="0"/>
        <v>0</v>
      </c>
      <c r="AQ6" s="205">
        <f t="shared" si="0"/>
        <v>0</v>
      </c>
      <c r="AR6" s="205">
        <f t="shared" si="0"/>
        <v>0</v>
      </c>
      <c r="AS6" s="205">
        <f t="shared" si="0"/>
        <v>0</v>
      </c>
      <c r="AT6" s="205">
        <f t="shared" si="0"/>
        <v>0</v>
      </c>
      <c r="AU6" s="205">
        <f t="shared" si="0"/>
        <v>0</v>
      </c>
      <c r="AV6" s="205">
        <f t="shared" si="0"/>
        <v>0</v>
      </c>
      <c r="AW6" s="205">
        <f t="shared" si="0"/>
        <v>0</v>
      </c>
      <c r="AX6" s="205">
        <f t="shared" si="1"/>
        <v>0</v>
      </c>
      <c r="AY6" s="205">
        <f t="shared" si="1"/>
        <v>0</v>
      </c>
      <c r="AZ6" s="205">
        <f t="shared" si="1"/>
        <v>0</v>
      </c>
      <c r="BA6" s="205">
        <f t="shared" si="1"/>
        <v>0</v>
      </c>
      <c r="BB6" s="205">
        <f t="shared" si="1"/>
        <v>0</v>
      </c>
      <c r="BC6" s="205">
        <f t="shared" si="1"/>
        <v>0</v>
      </c>
      <c r="BD6" s="205">
        <f t="shared" si="1"/>
        <v>0</v>
      </c>
      <c r="BE6" s="205">
        <f t="shared" si="1"/>
        <v>0</v>
      </c>
      <c r="BF6" s="205">
        <f t="shared" si="1"/>
        <v>0</v>
      </c>
      <c r="BG6" s="205">
        <f t="shared" si="1"/>
        <v>0</v>
      </c>
      <c r="BH6" s="205">
        <f t="shared" si="1"/>
        <v>0</v>
      </c>
      <c r="BI6" s="205">
        <f t="shared" si="1"/>
        <v>0</v>
      </c>
      <c r="BJ6" s="205">
        <f t="shared" si="1"/>
        <v>0</v>
      </c>
      <c r="BK6" s="205">
        <f t="shared" si="1"/>
        <v>0</v>
      </c>
      <c r="BL6" s="205">
        <f t="shared" si="1"/>
        <v>0</v>
      </c>
      <c r="BM6" s="205">
        <f t="shared" si="1"/>
        <v>0</v>
      </c>
      <c r="BN6" s="205">
        <f t="shared" si="1"/>
        <v>0</v>
      </c>
      <c r="BO6" s="205">
        <f t="shared" si="1"/>
        <v>0</v>
      </c>
      <c r="BP6" s="205">
        <f t="shared" si="1"/>
        <v>0</v>
      </c>
      <c r="BQ6" s="205">
        <f t="shared" si="1"/>
        <v>0</v>
      </c>
      <c r="BR6" s="205">
        <f t="shared" si="1"/>
        <v>0</v>
      </c>
      <c r="BS6" s="205">
        <f t="shared" si="1"/>
        <v>0</v>
      </c>
      <c r="BT6" s="205">
        <f t="shared" si="1"/>
        <v>0</v>
      </c>
      <c r="BU6" s="205">
        <f t="shared" si="1"/>
        <v>0</v>
      </c>
      <c r="BV6" s="205">
        <f t="shared" si="1"/>
        <v>0</v>
      </c>
      <c r="BW6" s="205">
        <f t="shared" si="1"/>
        <v>0</v>
      </c>
      <c r="BX6" s="205">
        <f t="shared" si="1"/>
        <v>0</v>
      </c>
      <c r="BY6" s="205">
        <f t="shared" si="1"/>
        <v>0</v>
      </c>
      <c r="BZ6" s="205">
        <f t="shared" si="1"/>
        <v>0</v>
      </c>
      <c r="CA6" s="205">
        <f t="shared" si="2"/>
        <v>0</v>
      </c>
      <c r="CB6" s="205">
        <f t="shared" si="2"/>
        <v>0</v>
      </c>
      <c r="CC6" s="205">
        <f t="shared" si="2"/>
        <v>0</v>
      </c>
      <c r="CD6" s="205">
        <f t="shared" si="2"/>
        <v>0</v>
      </c>
      <c r="CE6" s="205">
        <f t="shared" si="2"/>
        <v>0</v>
      </c>
      <c r="CF6" s="205">
        <f t="shared" si="2"/>
        <v>0</v>
      </c>
      <c r="CG6" s="205">
        <f t="shared" si="2"/>
        <v>0</v>
      </c>
      <c r="CH6" s="205">
        <f t="shared" si="2"/>
        <v>0</v>
      </c>
      <c r="CI6" s="205">
        <f t="shared" si="2"/>
        <v>0</v>
      </c>
      <c r="CJ6" s="205">
        <f t="shared" si="2"/>
        <v>0</v>
      </c>
      <c r="CK6" s="205">
        <f t="shared" si="2"/>
        <v>0</v>
      </c>
      <c r="CL6" s="205">
        <f t="shared" si="2"/>
        <v>0</v>
      </c>
      <c r="CM6" s="205">
        <f t="shared" si="2"/>
        <v>0</v>
      </c>
      <c r="CN6" s="205">
        <f t="shared" si="2"/>
        <v>0</v>
      </c>
      <c r="CO6" s="205">
        <f t="shared" si="2"/>
        <v>0</v>
      </c>
      <c r="CP6" s="205">
        <f t="shared" si="2"/>
        <v>0</v>
      </c>
      <c r="CQ6" s="205">
        <f t="shared" si="2"/>
        <v>0</v>
      </c>
      <c r="CR6" s="205">
        <f t="shared" si="2"/>
        <v>0</v>
      </c>
      <c r="CS6" s="205">
        <f t="shared" si="3"/>
        <v>0</v>
      </c>
      <c r="CT6" s="205">
        <f t="shared" si="3"/>
        <v>0</v>
      </c>
      <c r="CU6" s="205">
        <f t="shared" si="3"/>
        <v>0</v>
      </c>
      <c r="CV6" s="205">
        <f t="shared" si="3"/>
        <v>0</v>
      </c>
      <c r="CW6" s="205">
        <f t="shared" si="3"/>
        <v>0</v>
      </c>
      <c r="CX6" s="205">
        <f t="shared" si="3"/>
        <v>0</v>
      </c>
      <c r="CY6" s="205">
        <f t="shared" si="3"/>
        <v>0</v>
      </c>
      <c r="CZ6" s="205">
        <f t="shared" si="3"/>
        <v>0</v>
      </c>
      <c r="DA6" s="205">
        <f t="shared" si="3"/>
        <v>0</v>
      </c>
      <c r="DB6" s="205"/>
    </row>
    <row r="7" spans="1:106">
      <c r="A7" s="202" t="str">
        <f>Income!A76</f>
        <v>Animals sold</v>
      </c>
      <c r="B7" s="204">
        <f>Income!B76</f>
        <v>711.20000000000016</v>
      </c>
      <c r="C7" s="204">
        <f>Income!C76</f>
        <v>3133.76</v>
      </c>
      <c r="D7" s="204">
        <f>Income!D76</f>
        <v>9520</v>
      </c>
      <c r="E7" s="204">
        <f>Income!E76</f>
        <v>24333.120000000003</v>
      </c>
      <c r="F7" s="205">
        <f t="shared" si="4"/>
        <v>711.20000000000016</v>
      </c>
      <c r="G7" s="205">
        <f t="shared" si="0"/>
        <v>711.20000000000016</v>
      </c>
      <c r="H7" s="205">
        <f t="shared" si="0"/>
        <v>711.20000000000016</v>
      </c>
      <c r="I7" s="205">
        <f t="shared" si="0"/>
        <v>711.20000000000016</v>
      </c>
      <c r="J7" s="205">
        <f t="shared" si="0"/>
        <v>711.20000000000016</v>
      </c>
      <c r="K7" s="205">
        <f t="shared" si="0"/>
        <v>711.20000000000016</v>
      </c>
      <c r="L7" s="205">
        <f t="shared" si="0"/>
        <v>711.20000000000016</v>
      </c>
      <c r="M7" s="205">
        <f t="shared" si="0"/>
        <v>711.20000000000016</v>
      </c>
      <c r="N7" s="205">
        <f t="shared" si="0"/>
        <v>711.20000000000016</v>
      </c>
      <c r="O7" s="205">
        <f t="shared" si="0"/>
        <v>711.20000000000016</v>
      </c>
      <c r="P7" s="205">
        <f t="shared" si="0"/>
        <v>711.20000000000016</v>
      </c>
      <c r="Q7" s="205">
        <f t="shared" si="0"/>
        <v>711.20000000000016</v>
      </c>
      <c r="R7" s="205">
        <f t="shared" si="0"/>
        <v>711.20000000000016</v>
      </c>
      <c r="S7" s="205">
        <f t="shared" si="0"/>
        <v>711.20000000000016</v>
      </c>
      <c r="T7" s="205">
        <f t="shared" si="0"/>
        <v>711.20000000000016</v>
      </c>
      <c r="U7" s="205">
        <f t="shared" si="0"/>
        <v>711.20000000000016</v>
      </c>
      <c r="V7" s="205">
        <f t="shared" si="0"/>
        <v>711.20000000000016</v>
      </c>
      <c r="W7" s="205">
        <f t="shared" si="0"/>
        <v>711.20000000000016</v>
      </c>
      <c r="X7" s="205">
        <f t="shared" si="0"/>
        <v>711.20000000000016</v>
      </c>
      <c r="Y7" s="205">
        <f t="shared" si="0"/>
        <v>711.20000000000016</v>
      </c>
      <c r="Z7" s="205">
        <f t="shared" si="0"/>
        <v>711.20000000000016</v>
      </c>
      <c r="AA7" s="205">
        <f t="shared" si="0"/>
        <v>711.20000000000016</v>
      </c>
      <c r="AB7" s="205">
        <f t="shared" si="0"/>
        <v>711.20000000000016</v>
      </c>
      <c r="AC7" s="205">
        <f t="shared" si="0"/>
        <v>711.20000000000016</v>
      </c>
      <c r="AD7" s="205">
        <f t="shared" si="0"/>
        <v>711.20000000000016</v>
      </c>
      <c r="AE7" s="205">
        <f t="shared" si="0"/>
        <v>711.20000000000016</v>
      </c>
      <c r="AF7" s="205">
        <f t="shared" si="0"/>
        <v>711.20000000000016</v>
      </c>
      <c r="AG7" s="205">
        <f t="shared" si="0"/>
        <v>711.20000000000016</v>
      </c>
      <c r="AH7" s="205">
        <f t="shared" si="0"/>
        <v>711.20000000000016</v>
      </c>
      <c r="AI7" s="205">
        <f t="shared" si="0"/>
        <v>711.20000000000016</v>
      </c>
      <c r="AJ7" s="205">
        <f t="shared" si="0"/>
        <v>711.20000000000016</v>
      </c>
      <c r="AK7" s="205">
        <f t="shared" si="0"/>
        <v>711.20000000000016</v>
      </c>
      <c r="AL7" s="205">
        <f t="shared" si="0"/>
        <v>711.20000000000016</v>
      </c>
      <c r="AM7" s="205">
        <f t="shared" si="0"/>
        <v>711.20000000000016</v>
      </c>
      <c r="AN7" s="205">
        <f t="shared" si="0"/>
        <v>711.20000000000016</v>
      </c>
      <c r="AO7" s="205">
        <f t="shared" si="0"/>
        <v>711.20000000000016</v>
      </c>
      <c r="AP7" s="205">
        <f t="shared" si="0"/>
        <v>711.20000000000016</v>
      </c>
      <c r="AQ7" s="205">
        <f t="shared" si="0"/>
        <v>711.20000000000016</v>
      </c>
      <c r="AR7" s="205">
        <f t="shared" si="0"/>
        <v>711.20000000000016</v>
      </c>
      <c r="AS7" s="205">
        <f t="shared" si="0"/>
        <v>711.20000000000016</v>
      </c>
      <c r="AT7" s="205">
        <f t="shared" si="0"/>
        <v>711.20000000000016</v>
      </c>
      <c r="AU7" s="205">
        <f t="shared" ref="AU7:BJ8" si="5">IF(AU$2&lt;=($B$2+$C$2+$D$2),IF(AU$2&lt;=($B$2+$C$2),IF(AU$2&lt;=$B$2,$B7,$C7),$D7),$E7)</f>
        <v>711.20000000000016</v>
      </c>
      <c r="AV7" s="205">
        <f t="shared" si="5"/>
        <v>711.20000000000016</v>
      </c>
      <c r="AW7" s="205">
        <f t="shared" si="5"/>
        <v>711.20000000000016</v>
      </c>
      <c r="AX7" s="205">
        <f t="shared" si="5"/>
        <v>711.20000000000016</v>
      </c>
      <c r="AY7" s="205">
        <f t="shared" si="5"/>
        <v>711.20000000000016</v>
      </c>
      <c r="AZ7" s="205">
        <f t="shared" si="5"/>
        <v>711.20000000000016</v>
      </c>
      <c r="BA7" s="205">
        <f t="shared" si="5"/>
        <v>711.20000000000016</v>
      </c>
      <c r="BB7" s="205">
        <f t="shared" si="5"/>
        <v>711.20000000000016</v>
      </c>
      <c r="BC7" s="205">
        <f t="shared" si="5"/>
        <v>24333.120000000003</v>
      </c>
      <c r="BD7" s="205">
        <f t="shared" si="5"/>
        <v>24333.120000000003</v>
      </c>
      <c r="BE7" s="205">
        <f t="shared" si="5"/>
        <v>24333.120000000003</v>
      </c>
      <c r="BF7" s="205">
        <f t="shared" si="5"/>
        <v>24333.120000000003</v>
      </c>
      <c r="BG7" s="205">
        <f t="shared" si="5"/>
        <v>24333.120000000003</v>
      </c>
      <c r="BH7" s="205">
        <f t="shared" si="5"/>
        <v>24333.120000000003</v>
      </c>
      <c r="BI7" s="205">
        <f t="shared" si="5"/>
        <v>24333.120000000003</v>
      </c>
      <c r="BJ7" s="205">
        <f t="shared" si="5"/>
        <v>24333.120000000003</v>
      </c>
      <c r="BK7" s="205">
        <f t="shared" si="1"/>
        <v>24333.120000000003</v>
      </c>
      <c r="BL7" s="205">
        <f t="shared" si="1"/>
        <v>24333.120000000003</v>
      </c>
      <c r="BM7" s="205">
        <f t="shared" si="1"/>
        <v>24333.120000000003</v>
      </c>
      <c r="BN7" s="205">
        <f t="shared" si="1"/>
        <v>24333.120000000003</v>
      </c>
      <c r="BO7" s="205">
        <f t="shared" si="1"/>
        <v>24333.120000000003</v>
      </c>
      <c r="BP7" s="205">
        <f t="shared" si="1"/>
        <v>24333.120000000003</v>
      </c>
      <c r="BQ7" s="205">
        <f t="shared" si="1"/>
        <v>24333.120000000003</v>
      </c>
      <c r="BR7" s="205">
        <f t="shared" si="1"/>
        <v>24333.120000000003</v>
      </c>
      <c r="BS7" s="205">
        <f t="shared" si="1"/>
        <v>24333.120000000003</v>
      </c>
      <c r="BT7" s="205">
        <f t="shared" si="1"/>
        <v>24333.120000000003</v>
      </c>
      <c r="BU7" s="205">
        <f t="shared" si="1"/>
        <v>24333.120000000003</v>
      </c>
      <c r="BV7" s="205">
        <f t="shared" si="1"/>
        <v>24333.120000000003</v>
      </c>
      <c r="BW7" s="205">
        <f t="shared" si="1"/>
        <v>24333.120000000003</v>
      </c>
      <c r="BX7" s="205">
        <f t="shared" si="1"/>
        <v>24333.120000000003</v>
      </c>
      <c r="BY7" s="205">
        <f t="shared" si="1"/>
        <v>24333.120000000003</v>
      </c>
      <c r="BZ7" s="205">
        <f t="shared" si="1"/>
        <v>24333.120000000003</v>
      </c>
      <c r="CA7" s="205">
        <f t="shared" si="2"/>
        <v>24333.120000000003</v>
      </c>
      <c r="CB7" s="205">
        <f t="shared" si="2"/>
        <v>24333.120000000003</v>
      </c>
      <c r="CC7" s="205">
        <f t="shared" si="2"/>
        <v>24333.120000000003</v>
      </c>
      <c r="CD7" s="205">
        <f t="shared" si="2"/>
        <v>24333.120000000003</v>
      </c>
      <c r="CE7" s="205">
        <f t="shared" si="2"/>
        <v>24333.120000000003</v>
      </c>
      <c r="CF7" s="205">
        <f t="shared" si="2"/>
        <v>24333.120000000003</v>
      </c>
      <c r="CG7" s="205">
        <f t="shared" si="2"/>
        <v>24333.120000000003</v>
      </c>
      <c r="CH7" s="205">
        <f t="shared" si="2"/>
        <v>24333.120000000003</v>
      </c>
      <c r="CI7" s="205">
        <f t="shared" si="2"/>
        <v>24333.120000000003</v>
      </c>
      <c r="CJ7" s="205">
        <f t="shared" si="2"/>
        <v>24333.120000000003</v>
      </c>
      <c r="CK7" s="205">
        <f t="shared" si="2"/>
        <v>24333.120000000003</v>
      </c>
      <c r="CL7" s="205">
        <f t="shared" si="2"/>
        <v>24333.120000000003</v>
      </c>
      <c r="CM7" s="205">
        <f t="shared" si="2"/>
        <v>24333.120000000003</v>
      </c>
      <c r="CN7" s="205">
        <f t="shared" si="2"/>
        <v>24333.120000000003</v>
      </c>
      <c r="CO7" s="205">
        <f t="shared" si="2"/>
        <v>24333.120000000003</v>
      </c>
      <c r="CP7" s="205">
        <f t="shared" si="2"/>
        <v>24333.120000000003</v>
      </c>
      <c r="CQ7" s="205">
        <f t="shared" si="2"/>
        <v>24333.120000000003</v>
      </c>
      <c r="CR7" s="205">
        <f t="shared" si="2"/>
        <v>24333.120000000003</v>
      </c>
      <c r="CS7" s="205">
        <f t="shared" si="3"/>
        <v>24333.120000000003</v>
      </c>
      <c r="CT7" s="205">
        <f t="shared" si="3"/>
        <v>24333.120000000003</v>
      </c>
      <c r="CU7" s="205">
        <f t="shared" si="3"/>
        <v>24333.120000000003</v>
      </c>
      <c r="CV7" s="205">
        <f t="shared" si="3"/>
        <v>24333.120000000003</v>
      </c>
      <c r="CW7" s="205">
        <f t="shared" si="3"/>
        <v>24333.120000000003</v>
      </c>
      <c r="CX7" s="205">
        <f t="shared" si="3"/>
        <v>24333.120000000003</v>
      </c>
      <c r="CY7" s="205">
        <f t="shared" si="3"/>
        <v>24333.120000000003</v>
      </c>
      <c r="CZ7" s="205">
        <f t="shared" si="3"/>
        <v>24333.120000000003</v>
      </c>
      <c r="DA7" s="205">
        <f t="shared" si="3"/>
        <v>24333.120000000003</v>
      </c>
      <c r="DB7" s="205"/>
    </row>
    <row r="8" spans="1:106">
      <c r="A8" s="202" t="str">
        <f>Income!A77</f>
        <v>Wild foods consumed and sold</v>
      </c>
      <c r="B8" s="204">
        <f>Income!B77</f>
        <v>716.80000000000007</v>
      </c>
      <c r="C8" s="204">
        <f>Income!C77</f>
        <v>716.80000000000007</v>
      </c>
      <c r="D8" s="204">
        <f>Income!D77</f>
        <v>0</v>
      </c>
      <c r="E8" s="204">
        <f>Income!E77</f>
        <v>0</v>
      </c>
      <c r="F8" s="205">
        <f t="shared" si="4"/>
        <v>716.80000000000007</v>
      </c>
      <c r="G8" s="205">
        <f t="shared" si="4"/>
        <v>716.80000000000007</v>
      </c>
      <c r="H8" s="205">
        <f t="shared" si="4"/>
        <v>716.80000000000007</v>
      </c>
      <c r="I8" s="205">
        <f t="shared" si="4"/>
        <v>716.80000000000007</v>
      </c>
      <c r="J8" s="205">
        <f t="shared" si="4"/>
        <v>716.80000000000007</v>
      </c>
      <c r="K8" s="205">
        <f t="shared" si="4"/>
        <v>716.80000000000007</v>
      </c>
      <c r="L8" s="205">
        <f t="shared" si="4"/>
        <v>716.80000000000007</v>
      </c>
      <c r="M8" s="205">
        <f t="shared" si="4"/>
        <v>716.80000000000007</v>
      </c>
      <c r="N8" s="205">
        <f t="shared" si="4"/>
        <v>716.80000000000007</v>
      </c>
      <c r="O8" s="205">
        <f t="shared" si="4"/>
        <v>716.80000000000007</v>
      </c>
      <c r="P8" s="205">
        <f t="shared" si="4"/>
        <v>716.80000000000007</v>
      </c>
      <c r="Q8" s="205">
        <f t="shared" si="4"/>
        <v>716.80000000000007</v>
      </c>
      <c r="R8" s="205">
        <f t="shared" si="4"/>
        <v>716.80000000000007</v>
      </c>
      <c r="S8" s="205">
        <f t="shared" si="4"/>
        <v>716.80000000000007</v>
      </c>
      <c r="T8" s="205">
        <f t="shared" si="4"/>
        <v>716.80000000000007</v>
      </c>
      <c r="U8" s="205">
        <f t="shared" si="4"/>
        <v>716.80000000000007</v>
      </c>
      <c r="V8" s="205">
        <f t="shared" ref="V8:AK18" si="6">IF(V$2&lt;=($B$2+$C$2+$D$2),IF(V$2&lt;=($B$2+$C$2),IF(V$2&lt;=$B$2,$B8,$C8),$D8),$E8)</f>
        <v>716.80000000000007</v>
      </c>
      <c r="W8" s="205">
        <f t="shared" si="6"/>
        <v>716.80000000000007</v>
      </c>
      <c r="X8" s="205">
        <f t="shared" si="6"/>
        <v>716.80000000000007</v>
      </c>
      <c r="Y8" s="205">
        <f t="shared" si="6"/>
        <v>716.80000000000007</v>
      </c>
      <c r="Z8" s="205">
        <f t="shared" si="6"/>
        <v>716.80000000000007</v>
      </c>
      <c r="AA8" s="205">
        <f t="shared" si="6"/>
        <v>716.80000000000007</v>
      </c>
      <c r="AB8" s="205">
        <f t="shared" si="6"/>
        <v>716.80000000000007</v>
      </c>
      <c r="AC8" s="205">
        <f t="shared" si="6"/>
        <v>716.80000000000007</v>
      </c>
      <c r="AD8" s="205">
        <f t="shared" si="6"/>
        <v>716.80000000000007</v>
      </c>
      <c r="AE8" s="205">
        <f t="shared" si="6"/>
        <v>716.80000000000007</v>
      </c>
      <c r="AF8" s="205">
        <f t="shared" si="6"/>
        <v>716.80000000000007</v>
      </c>
      <c r="AG8" s="205">
        <f t="shared" si="6"/>
        <v>716.80000000000007</v>
      </c>
      <c r="AH8" s="205">
        <f t="shared" si="6"/>
        <v>716.80000000000007</v>
      </c>
      <c r="AI8" s="205">
        <f t="shared" si="6"/>
        <v>716.80000000000007</v>
      </c>
      <c r="AJ8" s="205">
        <f t="shared" si="6"/>
        <v>716.80000000000007</v>
      </c>
      <c r="AK8" s="205">
        <f t="shared" si="6"/>
        <v>716.80000000000007</v>
      </c>
      <c r="AL8" s="205">
        <f t="shared" ref="AL8:BA18" si="7">IF(AL$2&lt;=($B$2+$C$2+$D$2),IF(AL$2&lt;=($B$2+$C$2),IF(AL$2&lt;=$B$2,$B8,$C8),$D8),$E8)</f>
        <v>716.80000000000007</v>
      </c>
      <c r="AM8" s="205">
        <f t="shared" si="7"/>
        <v>716.80000000000007</v>
      </c>
      <c r="AN8" s="205">
        <f t="shared" si="7"/>
        <v>716.80000000000007</v>
      </c>
      <c r="AO8" s="205">
        <f t="shared" si="7"/>
        <v>716.80000000000007</v>
      </c>
      <c r="AP8" s="205">
        <f t="shared" si="7"/>
        <v>716.80000000000007</v>
      </c>
      <c r="AQ8" s="205">
        <f t="shared" si="7"/>
        <v>716.80000000000007</v>
      </c>
      <c r="AR8" s="205">
        <f t="shared" si="7"/>
        <v>716.80000000000007</v>
      </c>
      <c r="AS8" s="205">
        <f t="shared" si="7"/>
        <v>716.80000000000007</v>
      </c>
      <c r="AT8" s="205">
        <f t="shared" si="7"/>
        <v>716.80000000000007</v>
      </c>
      <c r="AU8" s="205">
        <f t="shared" si="7"/>
        <v>716.80000000000007</v>
      </c>
      <c r="AV8" s="205">
        <f t="shared" si="7"/>
        <v>716.80000000000007</v>
      </c>
      <c r="AW8" s="205">
        <f t="shared" si="7"/>
        <v>716.80000000000007</v>
      </c>
      <c r="AX8" s="205">
        <f t="shared" si="7"/>
        <v>716.80000000000007</v>
      </c>
      <c r="AY8" s="205">
        <f t="shared" si="7"/>
        <v>716.80000000000007</v>
      </c>
      <c r="AZ8" s="205">
        <f t="shared" si="7"/>
        <v>716.80000000000007</v>
      </c>
      <c r="BA8" s="205">
        <f t="shared" si="7"/>
        <v>716.80000000000007</v>
      </c>
      <c r="BB8" s="205">
        <f t="shared" si="5"/>
        <v>716.80000000000007</v>
      </c>
      <c r="BC8" s="205">
        <f t="shared" si="5"/>
        <v>0</v>
      </c>
      <c r="BD8" s="205">
        <f t="shared" si="5"/>
        <v>0</v>
      </c>
      <c r="BE8" s="205">
        <f t="shared" si="5"/>
        <v>0</v>
      </c>
      <c r="BF8" s="205">
        <f t="shared" si="5"/>
        <v>0</v>
      </c>
      <c r="BG8" s="205">
        <f t="shared" si="5"/>
        <v>0</v>
      </c>
      <c r="BH8" s="205">
        <f t="shared" si="5"/>
        <v>0</v>
      </c>
      <c r="BI8" s="205">
        <f t="shared" si="5"/>
        <v>0</v>
      </c>
      <c r="BJ8" s="205">
        <f t="shared" si="5"/>
        <v>0</v>
      </c>
      <c r="BK8" s="205">
        <f t="shared" si="1"/>
        <v>0</v>
      </c>
      <c r="BL8" s="205">
        <f t="shared" si="1"/>
        <v>0</v>
      </c>
      <c r="BM8" s="205">
        <f t="shared" si="1"/>
        <v>0</v>
      </c>
      <c r="BN8" s="205">
        <f t="shared" si="1"/>
        <v>0</v>
      </c>
      <c r="BO8" s="205">
        <f t="shared" si="1"/>
        <v>0</v>
      </c>
      <c r="BP8" s="205">
        <f t="shared" si="1"/>
        <v>0</v>
      </c>
      <c r="BQ8" s="205">
        <f t="shared" si="1"/>
        <v>0</v>
      </c>
      <c r="BR8" s="205">
        <f t="shared" si="1"/>
        <v>0</v>
      </c>
      <c r="BS8" s="205">
        <f t="shared" si="1"/>
        <v>0</v>
      </c>
      <c r="BT8" s="205">
        <f t="shared" si="1"/>
        <v>0</v>
      </c>
      <c r="BU8" s="205">
        <f t="shared" si="1"/>
        <v>0</v>
      </c>
      <c r="BV8" s="205">
        <f t="shared" si="1"/>
        <v>0</v>
      </c>
      <c r="BW8" s="205">
        <f t="shared" si="1"/>
        <v>0</v>
      </c>
      <c r="BX8" s="205">
        <f t="shared" si="1"/>
        <v>0</v>
      </c>
      <c r="BY8" s="205">
        <f t="shared" si="1"/>
        <v>0</v>
      </c>
      <c r="BZ8" s="205">
        <f t="shared" si="1"/>
        <v>0</v>
      </c>
      <c r="CA8" s="205">
        <f t="shared" si="2"/>
        <v>0</v>
      </c>
      <c r="CB8" s="205">
        <f t="shared" si="2"/>
        <v>0</v>
      </c>
      <c r="CC8" s="205">
        <f t="shared" si="2"/>
        <v>0</v>
      </c>
      <c r="CD8" s="205">
        <f t="shared" si="2"/>
        <v>0</v>
      </c>
      <c r="CE8" s="205">
        <f t="shared" si="2"/>
        <v>0</v>
      </c>
      <c r="CF8" s="205">
        <f t="shared" si="2"/>
        <v>0</v>
      </c>
      <c r="CG8" s="205">
        <f t="shared" si="2"/>
        <v>0</v>
      </c>
      <c r="CH8" s="205">
        <f t="shared" si="2"/>
        <v>0</v>
      </c>
      <c r="CI8" s="205">
        <f t="shared" si="2"/>
        <v>0</v>
      </c>
      <c r="CJ8" s="205">
        <f t="shared" si="2"/>
        <v>0</v>
      </c>
      <c r="CK8" s="205">
        <f t="shared" si="2"/>
        <v>0</v>
      </c>
      <c r="CL8" s="205">
        <f t="shared" si="2"/>
        <v>0</v>
      </c>
      <c r="CM8" s="205">
        <f t="shared" si="2"/>
        <v>0</v>
      </c>
      <c r="CN8" s="205">
        <f t="shared" si="2"/>
        <v>0</v>
      </c>
      <c r="CO8" s="205">
        <f t="shared" si="2"/>
        <v>0</v>
      </c>
      <c r="CP8" s="205">
        <f t="shared" si="2"/>
        <v>0</v>
      </c>
      <c r="CQ8" s="205">
        <f t="shared" si="2"/>
        <v>0</v>
      </c>
      <c r="CR8" s="205">
        <f t="shared" si="2"/>
        <v>0</v>
      </c>
      <c r="CS8" s="205">
        <f t="shared" si="3"/>
        <v>0</v>
      </c>
      <c r="CT8" s="205">
        <f t="shared" si="3"/>
        <v>0</v>
      </c>
      <c r="CU8" s="205">
        <f t="shared" si="3"/>
        <v>0</v>
      </c>
      <c r="CV8" s="205">
        <f t="shared" si="3"/>
        <v>0</v>
      </c>
      <c r="CW8" s="205">
        <f t="shared" si="3"/>
        <v>0</v>
      </c>
      <c r="CX8" s="205">
        <f t="shared" si="3"/>
        <v>0</v>
      </c>
      <c r="CY8" s="205">
        <f t="shared" si="3"/>
        <v>0</v>
      </c>
      <c r="CZ8" s="205">
        <f t="shared" si="3"/>
        <v>0</v>
      </c>
      <c r="DA8" s="205">
        <f t="shared" si="3"/>
        <v>0</v>
      </c>
      <c r="DB8" s="205"/>
    </row>
    <row r="9" spans="1:106">
      <c r="A9" s="202" t="str">
        <f>Income!A78</f>
        <v>Labour - casual</v>
      </c>
      <c r="B9" s="204">
        <f>Income!B78</f>
        <v>6731.2000000000007</v>
      </c>
      <c r="C9" s="204">
        <f>Income!C78</f>
        <v>13496.000000000002</v>
      </c>
      <c r="D9" s="204">
        <f>Income!D78</f>
        <v>1323.9328788663345</v>
      </c>
      <c r="E9" s="204">
        <f>Income!E78</f>
        <v>0</v>
      </c>
      <c r="F9" s="205">
        <f t="shared" si="4"/>
        <v>6731.2000000000007</v>
      </c>
      <c r="G9" s="205">
        <f t="shared" si="4"/>
        <v>6731.2000000000007</v>
      </c>
      <c r="H9" s="205">
        <f t="shared" si="4"/>
        <v>6731.2000000000007</v>
      </c>
      <c r="I9" s="205">
        <f t="shared" si="4"/>
        <v>6731.2000000000007</v>
      </c>
      <c r="J9" s="205">
        <f t="shared" si="4"/>
        <v>6731.2000000000007</v>
      </c>
      <c r="K9" s="205">
        <f t="shared" si="4"/>
        <v>6731.2000000000007</v>
      </c>
      <c r="L9" s="205">
        <f t="shared" si="4"/>
        <v>6731.2000000000007</v>
      </c>
      <c r="M9" s="205">
        <f t="shared" si="4"/>
        <v>6731.2000000000007</v>
      </c>
      <c r="N9" s="205">
        <f t="shared" si="4"/>
        <v>6731.2000000000007</v>
      </c>
      <c r="O9" s="205">
        <f t="shared" si="4"/>
        <v>6731.2000000000007</v>
      </c>
      <c r="P9" s="205">
        <f t="shared" si="4"/>
        <v>6731.2000000000007</v>
      </c>
      <c r="Q9" s="205">
        <f t="shared" si="4"/>
        <v>6731.2000000000007</v>
      </c>
      <c r="R9" s="205">
        <f t="shared" si="4"/>
        <v>6731.2000000000007</v>
      </c>
      <c r="S9" s="205">
        <f t="shared" si="4"/>
        <v>6731.2000000000007</v>
      </c>
      <c r="T9" s="205">
        <f t="shared" si="4"/>
        <v>6731.2000000000007</v>
      </c>
      <c r="U9" s="205">
        <f t="shared" si="4"/>
        <v>6731.2000000000007</v>
      </c>
      <c r="V9" s="205">
        <f t="shared" si="6"/>
        <v>6731.2000000000007</v>
      </c>
      <c r="W9" s="205">
        <f t="shared" si="6"/>
        <v>6731.2000000000007</v>
      </c>
      <c r="X9" s="205">
        <f t="shared" si="6"/>
        <v>6731.2000000000007</v>
      </c>
      <c r="Y9" s="205">
        <f t="shared" si="6"/>
        <v>6731.2000000000007</v>
      </c>
      <c r="Z9" s="205">
        <f t="shared" si="6"/>
        <v>6731.2000000000007</v>
      </c>
      <c r="AA9" s="205">
        <f t="shared" si="6"/>
        <v>6731.2000000000007</v>
      </c>
      <c r="AB9" s="205">
        <f t="shared" si="6"/>
        <v>6731.2000000000007</v>
      </c>
      <c r="AC9" s="205">
        <f t="shared" si="6"/>
        <v>6731.2000000000007</v>
      </c>
      <c r="AD9" s="205">
        <f t="shared" si="6"/>
        <v>6731.2000000000007</v>
      </c>
      <c r="AE9" s="205">
        <f t="shared" si="6"/>
        <v>6731.2000000000007</v>
      </c>
      <c r="AF9" s="205">
        <f t="shared" si="6"/>
        <v>6731.2000000000007</v>
      </c>
      <c r="AG9" s="205">
        <f t="shared" si="6"/>
        <v>6731.2000000000007</v>
      </c>
      <c r="AH9" s="205">
        <f t="shared" si="6"/>
        <v>6731.2000000000007</v>
      </c>
      <c r="AI9" s="205">
        <f t="shared" si="6"/>
        <v>6731.2000000000007</v>
      </c>
      <c r="AJ9" s="205">
        <f t="shared" si="6"/>
        <v>6731.2000000000007</v>
      </c>
      <c r="AK9" s="205">
        <f t="shared" si="6"/>
        <v>6731.2000000000007</v>
      </c>
      <c r="AL9" s="205">
        <f t="shared" si="7"/>
        <v>6731.2000000000007</v>
      </c>
      <c r="AM9" s="205">
        <f t="shared" si="7"/>
        <v>6731.2000000000007</v>
      </c>
      <c r="AN9" s="205">
        <f t="shared" si="7"/>
        <v>6731.2000000000007</v>
      </c>
      <c r="AO9" s="205">
        <f t="shared" si="7"/>
        <v>6731.2000000000007</v>
      </c>
      <c r="AP9" s="205">
        <f t="shared" si="7"/>
        <v>6731.2000000000007</v>
      </c>
      <c r="AQ9" s="205">
        <f t="shared" si="7"/>
        <v>6731.2000000000007</v>
      </c>
      <c r="AR9" s="205">
        <f t="shared" si="7"/>
        <v>6731.2000000000007</v>
      </c>
      <c r="AS9" s="205">
        <f t="shared" si="7"/>
        <v>6731.2000000000007</v>
      </c>
      <c r="AT9" s="205">
        <f t="shared" si="7"/>
        <v>6731.2000000000007</v>
      </c>
      <c r="AU9" s="205">
        <f t="shared" si="7"/>
        <v>6731.2000000000007</v>
      </c>
      <c r="AV9" s="205">
        <f t="shared" si="7"/>
        <v>6731.2000000000007</v>
      </c>
      <c r="AW9" s="205">
        <f t="shared" si="7"/>
        <v>6731.2000000000007</v>
      </c>
      <c r="AX9" s="205">
        <f t="shared" si="1"/>
        <v>6731.2000000000007</v>
      </c>
      <c r="AY9" s="205">
        <f t="shared" si="1"/>
        <v>6731.2000000000007</v>
      </c>
      <c r="AZ9" s="205">
        <f t="shared" si="1"/>
        <v>6731.2000000000007</v>
      </c>
      <c r="BA9" s="205">
        <f t="shared" si="1"/>
        <v>6731.2000000000007</v>
      </c>
      <c r="BB9" s="205">
        <f t="shared" si="1"/>
        <v>6731.2000000000007</v>
      </c>
      <c r="BC9" s="205">
        <f t="shared" si="1"/>
        <v>0</v>
      </c>
      <c r="BD9" s="205">
        <f t="shared" si="1"/>
        <v>0</v>
      </c>
      <c r="BE9" s="205">
        <f t="shared" si="1"/>
        <v>0</v>
      </c>
      <c r="BF9" s="205">
        <f t="shared" si="1"/>
        <v>0</v>
      </c>
      <c r="BG9" s="205">
        <f t="shared" si="1"/>
        <v>0</v>
      </c>
      <c r="BH9" s="205">
        <f t="shared" si="1"/>
        <v>0</v>
      </c>
      <c r="BI9" s="205">
        <f t="shared" si="1"/>
        <v>0</v>
      </c>
      <c r="BJ9" s="205">
        <f t="shared" si="1"/>
        <v>0</v>
      </c>
      <c r="BK9" s="205">
        <f t="shared" si="1"/>
        <v>0</v>
      </c>
      <c r="BL9" s="205">
        <f t="shared" si="1"/>
        <v>0</v>
      </c>
      <c r="BM9" s="205">
        <f t="shared" si="1"/>
        <v>0</v>
      </c>
      <c r="BN9" s="205">
        <f t="shared" si="1"/>
        <v>0</v>
      </c>
      <c r="BO9" s="205">
        <f t="shared" si="1"/>
        <v>0</v>
      </c>
      <c r="BP9" s="205">
        <f t="shared" si="1"/>
        <v>0</v>
      </c>
      <c r="BQ9" s="205">
        <f t="shared" si="1"/>
        <v>0</v>
      </c>
      <c r="BR9" s="205">
        <f t="shared" si="1"/>
        <v>0</v>
      </c>
      <c r="BS9" s="205">
        <f t="shared" si="1"/>
        <v>0</v>
      </c>
      <c r="BT9" s="205">
        <f t="shared" si="1"/>
        <v>0</v>
      </c>
      <c r="BU9" s="205">
        <f t="shared" si="1"/>
        <v>0</v>
      </c>
      <c r="BV9" s="205">
        <f t="shared" si="1"/>
        <v>0</v>
      </c>
      <c r="BW9" s="205">
        <f t="shared" si="1"/>
        <v>0</v>
      </c>
      <c r="BX9" s="205">
        <f t="shared" si="1"/>
        <v>0</v>
      </c>
      <c r="BY9" s="205">
        <f t="shared" si="1"/>
        <v>0</v>
      </c>
      <c r="BZ9" s="205">
        <f t="shared" si="1"/>
        <v>0</v>
      </c>
      <c r="CA9" s="205">
        <f t="shared" si="2"/>
        <v>0</v>
      </c>
      <c r="CB9" s="205">
        <f t="shared" si="2"/>
        <v>0</v>
      </c>
      <c r="CC9" s="205">
        <f t="shared" si="2"/>
        <v>0</v>
      </c>
      <c r="CD9" s="205">
        <f t="shared" si="2"/>
        <v>0</v>
      </c>
      <c r="CE9" s="205">
        <f t="shared" si="2"/>
        <v>0</v>
      </c>
      <c r="CF9" s="205">
        <f t="shared" si="2"/>
        <v>0</v>
      </c>
      <c r="CG9" s="205">
        <f t="shared" si="2"/>
        <v>0</v>
      </c>
      <c r="CH9" s="205">
        <f t="shared" si="2"/>
        <v>0</v>
      </c>
      <c r="CI9" s="205">
        <f t="shared" si="2"/>
        <v>0</v>
      </c>
      <c r="CJ9" s="205">
        <f t="shared" si="2"/>
        <v>0</v>
      </c>
      <c r="CK9" s="205">
        <f t="shared" si="2"/>
        <v>0</v>
      </c>
      <c r="CL9" s="205">
        <f t="shared" si="2"/>
        <v>0</v>
      </c>
      <c r="CM9" s="205">
        <f t="shared" si="2"/>
        <v>0</v>
      </c>
      <c r="CN9" s="205">
        <f t="shared" si="2"/>
        <v>0</v>
      </c>
      <c r="CO9" s="205">
        <f t="shared" si="2"/>
        <v>0</v>
      </c>
      <c r="CP9" s="205">
        <f t="shared" si="2"/>
        <v>0</v>
      </c>
      <c r="CQ9" s="205">
        <f t="shared" si="2"/>
        <v>0</v>
      </c>
      <c r="CR9" s="205">
        <f t="shared" si="2"/>
        <v>0</v>
      </c>
      <c r="CS9" s="205">
        <f t="shared" si="3"/>
        <v>0</v>
      </c>
      <c r="CT9" s="205">
        <f t="shared" si="3"/>
        <v>0</v>
      </c>
      <c r="CU9" s="205">
        <f t="shared" si="3"/>
        <v>0</v>
      </c>
      <c r="CV9" s="205">
        <f t="shared" si="3"/>
        <v>0</v>
      </c>
      <c r="CW9" s="205">
        <f t="shared" si="3"/>
        <v>0</v>
      </c>
      <c r="CX9" s="205">
        <f t="shared" si="3"/>
        <v>0</v>
      </c>
      <c r="CY9" s="205">
        <f t="shared" si="3"/>
        <v>0</v>
      </c>
      <c r="CZ9" s="205">
        <f t="shared" si="3"/>
        <v>0</v>
      </c>
      <c r="DA9" s="205">
        <f t="shared" si="3"/>
        <v>0</v>
      </c>
      <c r="DB9" s="205"/>
    </row>
    <row r="10" spans="1:106">
      <c r="A10" s="202" t="str">
        <f>Income!A79</f>
        <v>Labour - formal emp</v>
      </c>
      <c r="B10" s="204">
        <f>Income!B79</f>
        <v>0</v>
      </c>
      <c r="C10" s="204">
        <f>Income!C79</f>
        <v>0</v>
      </c>
      <c r="D10" s="204">
        <f>Income!D79</f>
        <v>40320.000000000007</v>
      </c>
      <c r="E10" s="204">
        <f>Income!E79</f>
        <v>274176.00000000006</v>
      </c>
      <c r="F10" s="205">
        <f t="shared" si="4"/>
        <v>0</v>
      </c>
      <c r="G10" s="205">
        <f t="shared" si="4"/>
        <v>0</v>
      </c>
      <c r="H10" s="205">
        <f t="shared" si="4"/>
        <v>0</v>
      </c>
      <c r="I10" s="205">
        <f t="shared" si="4"/>
        <v>0</v>
      </c>
      <c r="J10" s="205">
        <f t="shared" si="4"/>
        <v>0</v>
      </c>
      <c r="K10" s="205">
        <f t="shared" si="4"/>
        <v>0</v>
      </c>
      <c r="L10" s="205">
        <f t="shared" si="4"/>
        <v>0</v>
      </c>
      <c r="M10" s="205">
        <f t="shared" si="4"/>
        <v>0</v>
      </c>
      <c r="N10" s="205">
        <f t="shared" si="4"/>
        <v>0</v>
      </c>
      <c r="O10" s="205">
        <f t="shared" si="4"/>
        <v>0</v>
      </c>
      <c r="P10" s="205">
        <f t="shared" si="4"/>
        <v>0</v>
      </c>
      <c r="Q10" s="205">
        <f t="shared" si="4"/>
        <v>0</v>
      </c>
      <c r="R10" s="205">
        <f t="shared" si="4"/>
        <v>0</v>
      </c>
      <c r="S10" s="205">
        <f t="shared" si="4"/>
        <v>0</v>
      </c>
      <c r="T10" s="205">
        <f t="shared" si="4"/>
        <v>0</v>
      </c>
      <c r="U10" s="205">
        <f t="shared" si="4"/>
        <v>0</v>
      </c>
      <c r="V10" s="205">
        <f t="shared" si="6"/>
        <v>0</v>
      </c>
      <c r="W10" s="205">
        <f t="shared" si="6"/>
        <v>0</v>
      </c>
      <c r="X10" s="205">
        <f t="shared" si="6"/>
        <v>0</v>
      </c>
      <c r="Y10" s="205">
        <f t="shared" si="6"/>
        <v>0</v>
      </c>
      <c r="Z10" s="205">
        <f t="shared" si="6"/>
        <v>0</v>
      </c>
      <c r="AA10" s="205">
        <f t="shared" si="6"/>
        <v>0</v>
      </c>
      <c r="AB10" s="205">
        <f t="shared" si="6"/>
        <v>0</v>
      </c>
      <c r="AC10" s="205">
        <f t="shared" si="6"/>
        <v>0</v>
      </c>
      <c r="AD10" s="205">
        <f t="shared" si="6"/>
        <v>0</v>
      </c>
      <c r="AE10" s="205">
        <f t="shared" si="6"/>
        <v>0</v>
      </c>
      <c r="AF10" s="205">
        <f t="shared" si="6"/>
        <v>0</v>
      </c>
      <c r="AG10" s="205">
        <f t="shared" si="6"/>
        <v>0</v>
      </c>
      <c r="AH10" s="205">
        <f t="shared" si="6"/>
        <v>0</v>
      </c>
      <c r="AI10" s="205">
        <f t="shared" si="6"/>
        <v>0</v>
      </c>
      <c r="AJ10" s="205">
        <f t="shared" si="6"/>
        <v>0</v>
      </c>
      <c r="AK10" s="205">
        <f t="shared" si="6"/>
        <v>0</v>
      </c>
      <c r="AL10" s="205">
        <f t="shared" si="7"/>
        <v>0</v>
      </c>
      <c r="AM10" s="205">
        <f t="shared" si="7"/>
        <v>0</v>
      </c>
      <c r="AN10" s="205">
        <f t="shared" si="7"/>
        <v>0</v>
      </c>
      <c r="AO10" s="205">
        <f t="shared" si="7"/>
        <v>0</v>
      </c>
      <c r="AP10" s="205">
        <f t="shared" si="7"/>
        <v>0</v>
      </c>
      <c r="AQ10" s="205">
        <f t="shared" si="7"/>
        <v>0</v>
      </c>
      <c r="AR10" s="205">
        <f t="shared" si="7"/>
        <v>0</v>
      </c>
      <c r="AS10" s="205">
        <f t="shared" si="7"/>
        <v>0</v>
      </c>
      <c r="AT10" s="205">
        <f t="shared" si="7"/>
        <v>0</v>
      </c>
      <c r="AU10" s="205">
        <f t="shared" si="7"/>
        <v>0</v>
      </c>
      <c r="AV10" s="205">
        <f t="shared" si="7"/>
        <v>0</v>
      </c>
      <c r="AW10" s="205">
        <f t="shared" si="7"/>
        <v>0</v>
      </c>
      <c r="AX10" s="205">
        <f t="shared" si="1"/>
        <v>0</v>
      </c>
      <c r="AY10" s="205">
        <f t="shared" si="1"/>
        <v>0</v>
      </c>
      <c r="AZ10" s="205">
        <f t="shared" si="1"/>
        <v>0</v>
      </c>
      <c r="BA10" s="205">
        <f t="shared" si="1"/>
        <v>0</v>
      </c>
      <c r="BB10" s="205">
        <f t="shared" si="1"/>
        <v>0</v>
      </c>
      <c r="BC10" s="205">
        <f t="shared" si="1"/>
        <v>274176.00000000006</v>
      </c>
      <c r="BD10" s="205">
        <f t="shared" si="1"/>
        <v>274176.00000000006</v>
      </c>
      <c r="BE10" s="205">
        <f t="shared" si="1"/>
        <v>274176.00000000006</v>
      </c>
      <c r="BF10" s="205">
        <f t="shared" si="1"/>
        <v>274176.00000000006</v>
      </c>
      <c r="BG10" s="205">
        <f t="shared" si="1"/>
        <v>274176.00000000006</v>
      </c>
      <c r="BH10" s="205">
        <f t="shared" si="1"/>
        <v>274176.00000000006</v>
      </c>
      <c r="BI10" s="205">
        <f t="shared" si="1"/>
        <v>274176.00000000006</v>
      </c>
      <c r="BJ10" s="205">
        <f t="shared" si="1"/>
        <v>274176.00000000006</v>
      </c>
      <c r="BK10" s="205">
        <f t="shared" si="1"/>
        <v>274176.00000000006</v>
      </c>
      <c r="BL10" s="205">
        <f t="shared" si="1"/>
        <v>274176.00000000006</v>
      </c>
      <c r="BM10" s="205">
        <f t="shared" si="1"/>
        <v>274176.00000000006</v>
      </c>
      <c r="BN10" s="205">
        <f t="shared" si="1"/>
        <v>274176.00000000006</v>
      </c>
      <c r="BO10" s="205">
        <f t="shared" si="1"/>
        <v>274176.00000000006</v>
      </c>
      <c r="BP10" s="205">
        <f t="shared" si="1"/>
        <v>274176.00000000006</v>
      </c>
      <c r="BQ10" s="205">
        <f t="shared" si="1"/>
        <v>274176.00000000006</v>
      </c>
      <c r="BR10" s="205">
        <f t="shared" ref="AX10:BZ18" si="8">IF(BR$2&lt;=($B$2+$C$2+$D$2),IF(BR$2&lt;=($B$2+$C$2),IF(BR$2&lt;=$B$2,$B10,$C10),$D10),$E10)</f>
        <v>274176.00000000006</v>
      </c>
      <c r="BS10" s="205">
        <f t="shared" si="8"/>
        <v>274176.00000000006</v>
      </c>
      <c r="BT10" s="205">
        <f t="shared" si="8"/>
        <v>274176.00000000006</v>
      </c>
      <c r="BU10" s="205">
        <f t="shared" si="8"/>
        <v>274176.00000000006</v>
      </c>
      <c r="BV10" s="205">
        <f t="shared" si="8"/>
        <v>274176.00000000006</v>
      </c>
      <c r="BW10" s="205">
        <f t="shared" si="8"/>
        <v>274176.00000000006</v>
      </c>
      <c r="BX10" s="205">
        <f t="shared" si="8"/>
        <v>274176.00000000006</v>
      </c>
      <c r="BY10" s="205">
        <f t="shared" si="8"/>
        <v>274176.00000000006</v>
      </c>
      <c r="BZ10" s="205">
        <f t="shared" si="8"/>
        <v>274176.00000000006</v>
      </c>
      <c r="CA10" s="205">
        <f t="shared" si="2"/>
        <v>274176.00000000006</v>
      </c>
      <c r="CB10" s="205">
        <f t="shared" si="2"/>
        <v>274176.00000000006</v>
      </c>
      <c r="CC10" s="205">
        <f t="shared" si="2"/>
        <v>274176.00000000006</v>
      </c>
      <c r="CD10" s="205">
        <f t="shared" si="2"/>
        <v>274176.00000000006</v>
      </c>
      <c r="CE10" s="205">
        <f t="shared" si="2"/>
        <v>274176.00000000006</v>
      </c>
      <c r="CF10" s="205">
        <f t="shared" si="2"/>
        <v>274176.00000000006</v>
      </c>
      <c r="CG10" s="205">
        <f t="shared" si="2"/>
        <v>274176.00000000006</v>
      </c>
      <c r="CH10" s="205">
        <f t="shared" si="2"/>
        <v>274176.00000000006</v>
      </c>
      <c r="CI10" s="205">
        <f t="shared" si="2"/>
        <v>274176.00000000006</v>
      </c>
      <c r="CJ10" s="205">
        <f t="shared" si="2"/>
        <v>274176.00000000006</v>
      </c>
      <c r="CK10" s="205">
        <f t="shared" si="2"/>
        <v>274176.00000000006</v>
      </c>
      <c r="CL10" s="205">
        <f t="shared" si="2"/>
        <v>274176.00000000006</v>
      </c>
      <c r="CM10" s="205">
        <f t="shared" si="2"/>
        <v>274176.00000000006</v>
      </c>
      <c r="CN10" s="205">
        <f t="shared" si="2"/>
        <v>274176.00000000006</v>
      </c>
      <c r="CO10" s="205">
        <f t="shared" si="2"/>
        <v>274176.00000000006</v>
      </c>
      <c r="CP10" s="205">
        <f t="shared" si="2"/>
        <v>274176.00000000006</v>
      </c>
      <c r="CQ10" s="205">
        <f t="shared" si="2"/>
        <v>274176.00000000006</v>
      </c>
      <c r="CR10" s="205">
        <f t="shared" si="2"/>
        <v>274176.00000000006</v>
      </c>
      <c r="CS10" s="205">
        <f t="shared" si="3"/>
        <v>274176.00000000006</v>
      </c>
      <c r="CT10" s="205">
        <f t="shared" si="3"/>
        <v>274176.00000000006</v>
      </c>
      <c r="CU10" s="205">
        <f t="shared" si="3"/>
        <v>274176.00000000006</v>
      </c>
      <c r="CV10" s="205">
        <f t="shared" si="3"/>
        <v>274176.00000000006</v>
      </c>
      <c r="CW10" s="205">
        <f t="shared" si="3"/>
        <v>274176.00000000006</v>
      </c>
      <c r="CX10" s="205">
        <f t="shared" si="3"/>
        <v>274176.00000000006</v>
      </c>
      <c r="CY10" s="205">
        <f t="shared" si="3"/>
        <v>274176.00000000006</v>
      </c>
      <c r="CZ10" s="205">
        <f t="shared" si="3"/>
        <v>274176.00000000006</v>
      </c>
      <c r="DA10" s="205">
        <f t="shared" si="3"/>
        <v>274176.00000000006</v>
      </c>
      <c r="DB10" s="205"/>
    </row>
    <row r="11" spans="1:106">
      <c r="A11" s="202" t="str">
        <f>Income!A81</f>
        <v>Self - employment</v>
      </c>
      <c r="B11" s="204">
        <f>Income!B81</f>
        <v>4032.0000000000005</v>
      </c>
      <c r="C11" s="204">
        <f>Income!C81</f>
        <v>4592.0000000000009</v>
      </c>
      <c r="D11" s="204">
        <f>Income!D81</f>
        <v>4032.0000000000005</v>
      </c>
      <c r="E11" s="204">
        <f>Income!E81</f>
        <v>8064.0000000000027</v>
      </c>
      <c r="F11" s="205">
        <f t="shared" si="4"/>
        <v>4032.0000000000005</v>
      </c>
      <c r="G11" s="205">
        <f t="shared" si="4"/>
        <v>4032.0000000000005</v>
      </c>
      <c r="H11" s="205">
        <f t="shared" si="4"/>
        <v>4032.0000000000005</v>
      </c>
      <c r="I11" s="205">
        <f t="shared" si="4"/>
        <v>4032.0000000000005</v>
      </c>
      <c r="J11" s="205">
        <f t="shared" si="4"/>
        <v>4032.0000000000005</v>
      </c>
      <c r="K11" s="205">
        <f t="shared" si="4"/>
        <v>4032.0000000000005</v>
      </c>
      <c r="L11" s="205">
        <f t="shared" si="4"/>
        <v>4032.0000000000005</v>
      </c>
      <c r="M11" s="205">
        <f t="shared" si="4"/>
        <v>4032.0000000000005</v>
      </c>
      <c r="N11" s="205">
        <f t="shared" si="4"/>
        <v>4032.0000000000005</v>
      </c>
      <c r="O11" s="205">
        <f t="shared" si="4"/>
        <v>4032.0000000000005</v>
      </c>
      <c r="P11" s="205">
        <f t="shared" si="4"/>
        <v>4032.0000000000005</v>
      </c>
      <c r="Q11" s="205">
        <f t="shared" si="4"/>
        <v>4032.0000000000005</v>
      </c>
      <c r="R11" s="205">
        <f t="shared" si="4"/>
        <v>4032.0000000000005</v>
      </c>
      <c r="S11" s="205">
        <f t="shared" si="4"/>
        <v>4032.0000000000005</v>
      </c>
      <c r="T11" s="205">
        <f t="shared" si="4"/>
        <v>4032.0000000000005</v>
      </c>
      <c r="U11" s="205">
        <f t="shared" si="4"/>
        <v>4032.0000000000005</v>
      </c>
      <c r="V11" s="205">
        <f t="shared" si="6"/>
        <v>4032.0000000000005</v>
      </c>
      <c r="W11" s="205">
        <f t="shared" si="6"/>
        <v>4032.0000000000005</v>
      </c>
      <c r="X11" s="205">
        <f t="shared" si="6"/>
        <v>4032.0000000000005</v>
      </c>
      <c r="Y11" s="205">
        <f t="shared" si="6"/>
        <v>4032.0000000000005</v>
      </c>
      <c r="Z11" s="205">
        <f t="shared" si="6"/>
        <v>4032.0000000000005</v>
      </c>
      <c r="AA11" s="205">
        <f t="shared" si="6"/>
        <v>4032.0000000000005</v>
      </c>
      <c r="AB11" s="205">
        <f t="shared" si="6"/>
        <v>4032.0000000000005</v>
      </c>
      <c r="AC11" s="205">
        <f t="shared" si="6"/>
        <v>4032.0000000000005</v>
      </c>
      <c r="AD11" s="205">
        <f t="shared" si="6"/>
        <v>4032.0000000000005</v>
      </c>
      <c r="AE11" s="205">
        <f t="shared" si="6"/>
        <v>4032.0000000000005</v>
      </c>
      <c r="AF11" s="205">
        <f t="shared" si="6"/>
        <v>4032.0000000000005</v>
      </c>
      <c r="AG11" s="205">
        <f t="shared" si="6"/>
        <v>4032.0000000000005</v>
      </c>
      <c r="AH11" s="205">
        <f t="shared" si="6"/>
        <v>4032.0000000000005</v>
      </c>
      <c r="AI11" s="205">
        <f t="shared" si="6"/>
        <v>4032.0000000000005</v>
      </c>
      <c r="AJ11" s="205">
        <f t="shared" si="6"/>
        <v>4032.0000000000005</v>
      </c>
      <c r="AK11" s="205">
        <f t="shared" si="6"/>
        <v>4032.0000000000005</v>
      </c>
      <c r="AL11" s="205">
        <f t="shared" si="7"/>
        <v>4032.0000000000005</v>
      </c>
      <c r="AM11" s="205">
        <f t="shared" si="7"/>
        <v>4032.0000000000005</v>
      </c>
      <c r="AN11" s="205">
        <f t="shared" si="7"/>
        <v>4032.0000000000005</v>
      </c>
      <c r="AO11" s="205">
        <f t="shared" si="7"/>
        <v>4032.0000000000005</v>
      </c>
      <c r="AP11" s="205">
        <f t="shared" si="7"/>
        <v>4032.0000000000005</v>
      </c>
      <c r="AQ11" s="205">
        <f t="shared" si="7"/>
        <v>4032.0000000000005</v>
      </c>
      <c r="AR11" s="205">
        <f t="shared" si="7"/>
        <v>4032.0000000000005</v>
      </c>
      <c r="AS11" s="205">
        <f t="shared" si="7"/>
        <v>4032.0000000000005</v>
      </c>
      <c r="AT11" s="205">
        <f t="shared" si="7"/>
        <v>4032.0000000000005</v>
      </c>
      <c r="AU11" s="205">
        <f t="shared" si="7"/>
        <v>4032.0000000000005</v>
      </c>
      <c r="AV11" s="205">
        <f t="shared" si="7"/>
        <v>4032.0000000000005</v>
      </c>
      <c r="AW11" s="205">
        <f t="shared" si="7"/>
        <v>4032.0000000000005</v>
      </c>
      <c r="AX11" s="205">
        <f t="shared" si="8"/>
        <v>4032.0000000000005</v>
      </c>
      <c r="AY11" s="205">
        <f t="shared" si="8"/>
        <v>4032.0000000000005</v>
      </c>
      <c r="AZ11" s="205">
        <f t="shared" si="8"/>
        <v>4032.0000000000005</v>
      </c>
      <c r="BA11" s="205">
        <f t="shared" si="8"/>
        <v>4032.0000000000005</v>
      </c>
      <c r="BB11" s="205">
        <f t="shared" si="8"/>
        <v>4032.0000000000005</v>
      </c>
      <c r="BC11" s="205">
        <f t="shared" si="8"/>
        <v>8064.0000000000027</v>
      </c>
      <c r="BD11" s="205">
        <f t="shared" si="8"/>
        <v>8064.0000000000027</v>
      </c>
      <c r="BE11" s="205">
        <f t="shared" si="8"/>
        <v>8064.0000000000027</v>
      </c>
      <c r="BF11" s="205">
        <f t="shared" si="8"/>
        <v>8064.0000000000027</v>
      </c>
      <c r="BG11" s="205">
        <f t="shared" si="8"/>
        <v>8064.0000000000027</v>
      </c>
      <c r="BH11" s="205">
        <f t="shared" si="8"/>
        <v>8064.0000000000027</v>
      </c>
      <c r="BI11" s="205">
        <f t="shared" si="8"/>
        <v>8064.0000000000027</v>
      </c>
      <c r="BJ11" s="205">
        <f t="shared" si="8"/>
        <v>8064.0000000000027</v>
      </c>
      <c r="BK11" s="205">
        <f t="shared" si="8"/>
        <v>8064.0000000000027</v>
      </c>
      <c r="BL11" s="205">
        <f t="shared" si="8"/>
        <v>8064.0000000000027</v>
      </c>
      <c r="BM11" s="205">
        <f t="shared" si="8"/>
        <v>8064.0000000000027</v>
      </c>
      <c r="BN11" s="205">
        <f t="shared" si="8"/>
        <v>8064.0000000000027</v>
      </c>
      <c r="BO11" s="205">
        <f t="shared" si="8"/>
        <v>8064.0000000000027</v>
      </c>
      <c r="BP11" s="205">
        <f t="shared" si="8"/>
        <v>8064.0000000000027</v>
      </c>
      <c r="BQ11" s="205">
        <f t="shared" si="8"/>
        <v>8064.0000000000027</v>
      </c>
      <c r="BR11" s="205">
        <f t="shared" si="8"/>
        <v>8064.0000000000027</v>
      </c>
      <c r="BS11" s="205">
        <f t="shared" si="8"/>
        <v>8064.0000000000027</v>
      </c>
      <c r="BT11" s="205">
        <f t="shared" si="8"/>
        <v>8064.0000000000027</v>
      </c>
      <c r="BU11" s="205">
        <f t="shared" si="8"/>
        <v>8064.0000000000027</v>
      </c>
      <c r="BV11" s="205">
        <f t="shared" si="8"/>
        <v>8064.0000000000027</v>
      </c>
      <c r="BW11" s="205">
        <f t="shared" si="8"/>
        <v>8064.0000000000027</v>
      </c>
      <c r="BX11" s="205">
        <f t="shared" si="8"/>
        <v>8064.0000000000027</v>
      </c>
      <c r="BY11" s="205">
        <f t="shared" si="8"/>
        <v>8064.0000000000027</v>
      </c>
      <c r="BZ11" s="205">
        <f t="shared" si="8"/>
        <v>8064.0000000000027</v>
      </c>
      <c r="CA11" s="205">
        <f t="shared" si="2"/>
        <v>8064.0000000000027</v>
      </c>
      <c r="CB11" s="205">
        <f t="shared" si="2"/>
        <v>8064.0000000000027</v>
      </c>
      <c r="CC11" s="205">
        <f t="shared" si="2"/>
        <v>8064.0000000000027</v>
      </c>
      <c r="CD11" s="205">
        <f t="shared" si="2"/>
        <v>8064.0000000000027</v>
      </c>
      <c r="CE11" s="205">
        <f t="shared" si="2"/>
        <v>8064.0000000000027</v>
      </c>
      <c r="CF11" s="205">
        <f t="shared" si="2"/>
        <v>8064.0000000000027</v>
      </c>
      <c r="CG11" s="205">
        <f t="shared" si="2"/>
        <v>8064.0000000000027</v>
      </c>
      <c r="CH11" s="205">
        <f t="shared" si="2"/>
        <v>8064.0000000000027</v>
      </c>
      <c r="CI11" s="205">
        <f t="shared" si="2"/>
        <v>8064.0000000000027</v>
      </c>
      <c r="CJ11" s="205">
        <f t="shared" si="2"/>
        <v>8064.0000000000027</v>
      </c>
      <c r="CK11" s="205">
        <f t="shared" si="2"/>
        <v>8064.0000000000027</v>
      </c>
      <c r="CL11" s="205">
        <f t="shared" si="2"/>
        <v>8064.0000000000027</v>
      </c>
      <c r="CM11" s="205">
        <f t="shared" si="2"/>
        <v>8064.0000000000027</v>
      </c>
      <c r="CN11" s="205">
        <f t="shared" si="2"/>
        <v>8064.0000000000027</v>
      </c>
      <c r="CO11" s="205">
        <f t="shared" si="2"/>
        <v>8064.0000000000027</v>
      </c>
      <c r="CP11" s="205">
        <f t="shared" si="2"/>
        <v>8064.0000000000027</v>
      </c>
      <c r="CQ11" s="205">
        <f t="shared" si="2"/>
        <v>8064.0000000000027</v>
      </c>
      <c r="CR11" s="205">
        <f t="shared" si="2"/>
        <v>8064.0000000000027</v>
      </c>
      <c r="CS11" s="205">
        <f t="shared" si="3"/>
        <v>8064.0000000000027</v>
      </c>
      <c r="CT11" s="205">
        <f t="shared" si="3"/>
        <v>8064.0000000000027</v>
      </c>
      <c r="CU11" s="205">
        <f t="shared" si="3"/>
        <v>8064.0000000000027</v>
      </c>
      <c r="CV11" s="205">
        <f t="shared" si="3"/>
        <v>8064.0000000000027</v>
      </c>
      <c r="CW11" s="205">
        <f t="shared" si="3"/>
        <v>8064.0000000000027</v>
      </c>
      <c r="CX11" s="205">
        <f t="shared" si="3"/>
        <v>8064.0000000000027</v>
      </c>
      <c r="CY11" s="205">
        <f t="shared" si="3"/>
        <v>8064.0000000000027</v>
      </c>
      <c r="CZ11" s="205">
        <f t="shared" si="3"/>
        <v>8064.0000000000027</v>
      </c>
      <c r="DA11" s="205">
        <f t="shared" si="3"/>
        <v>8064.0000000000027</v>
      </c>
      <c r="DB11" s="205"/>
    </row>
    <row r="12" spans="1:106">
      <c r="A12" s="202" t="str">
        <f>Income!A82</f>
        <v>Small business/petty trading</v>
      </c>
      <c r="B12" s="204">
        <f>Income!B82</f>
        <v>0</v>
      </c>
      <c r="C12" s="204">
        <f>Income!C82</f>
        <v>940.80000000000007</v>
      </c>
      <c r="D12" s="204">
        <f>Income!D82</f>
        <v>8064.0000000000009</v>
      </c>
      <c r="E12" s="204">
        <f>Income!E82</f>
        <v>19353.600000000002</v>
      </c>
      <c r="F12" s="205">
        <f t="shared" si="4"/>
        <v>0</v>
      </c>
      <c r="G12" s="205">
        <f t="shared" si="4"/>
        <v>0</v>
      </c>
      <c r="H12" s="205">
        <f t="shared" si="4"/>
        <v>0</v>
      </c>
      <c r="I12" s="205">
        <f t="shared" si="4"/>
        <v>0</v>
      </c>
      <c r="J12" s="205">
        <f t="shared" si="4"/>
        <v>0</v>
      </c>
      <c r="K12" s="205">
        <f t="shared" si="4"/>
        <v>0</v>
      </c>
      <c r="L12" s="205">
        <f t="shared" si="4"/>
        <v>0</v>
      </c>
      <c r="M12" s="205">
        <f t="shared" si="4"/>
        <v>0</v>
      </c>
      <c r="N12" s="205">
        <f t="shared" si="4"/>
        <v>0</v>
      </c>
      <c r="O12" s="205">
        <f t="shared" si="4"/>
        <v>0</v>
      </c>
      <c r="P12" s="205">
        <f t="shared" si="4"/>
        <v>0</v>
      </c>
      <c r="Q12" s="205">
        <f t="shared" si="4"/>
        <v>0</v>
      </c>
      <c r="R12" s="205">
        <f t="shared" si="4"/>
        <v>0</v>
      </c>
      <c r="S12" s="205">
        <f t="shared" si="4"/>
        <v>0</v>
      </c>
      <c r="T12" s="205">
        <f t="shared" si="4"/>
        <v>0</v>
      </c>
      <c r="U12" s="205">
        <f t="shared" si="4"/>
        <v>0</v>
      </c>
      <c r="V12" s="205">
        <f t="shared" si="6"/>
        <v>0</v>
      </c>
      <c r="W12" s="205">
        <f t="shared" si="6"/>
        <v>0</v>
      </c>
      <c r="X12" s="205">
        <f t="shared" si="6"/>
        <v>0</v>
      </c>
      <c r="Y12" s="205">
        <f t="shared" si="6"/>
        <v>0</v>
      </c>
      <c r="Z12" s="205">
        <f t="shared" si="6"/>
        <v>0</v>
      </c>
      <c r="AA12" s="205">
        <f t="shared" si="6"/>
        <v>0</v>
      </c>
      <c r="AB12" s="205">
        <f t="shared" si="6"/>
        <v>0</v>
      </c>
      <c r="AC12" s="205">
        <f t="shared" si="6"/>
        <v>0</v>
      </c>
      <c r="AD12" s="205">
        <f t="shared" si="6"/>
        <v>0</v>
      </c>
      <c r="AE12" s="205">
        <f t="shared" si="6"/>
        <v>0</v>
      </c>
      <c r="AF12" s="205">
        <f t="shared" si="6"/>
        <v>0</v>
      </c>
      <c r="AG12" s="205">
        <f t="shared" si="6"/>
        <v>0</v>
      </c>
      <c r="AH12" s="205">
        <f t="shared" si="6"/>
        <v>0</v>
      </c>
      <c r="AI12" s="205">
        <f t="shared" si="6"/>
        <v>0</v>
      </c>
      <c r="AJ12" s="205">
        <f t="shared" si="6"/>
        <v>0</v>
      </c>
      <c r="AK12" s="205">
        <f t="shared" si="6"/>
        <v>0</v>
      </c>
      <c r="AL12" s="205">
        <f t="shared" si="7"/>
        <v>0</v>
      </c>
      <c r="AM12" s="205">
        <f t="shared" si="7"/>
        <v>0</v>
      </c>
      <c r="AN12" s="205">
        <f t="shared" si="7"/>
        <v>0</v>
      </c>
      <c r="AO12" s="205">
        <f t="shared" si="7"/>
        <v>0</v>
      </c>
      <c r="AP12" s="205">
        <f t="shared" si="7"/>
        <v>0</v>
      </c>
      <c r="AQ12" s="205">
        <f t="shared" si="7"/>
        <v>0</v>
      </c>
      <c r="AR12" s="205">
        <f t="shared" si="7"/>
        <v>0</v>
      </c>
      <c r="AS12" s="205">
        <f t="shared" si="7"/>
        <v>0</v>
      </c>
      <c r="AT12" s="205">
        <f t="shared" si="7"/>
        <v>0</v>
      </c>
      <c r="AU12" s="205">
        <f t="shared" si="7"/>
        <v>0</v>
      </c>
      <c r="AV12" s="205">
        <f t="shared" si="7"/>
        <v>0</v>
      </c>
      <c r="AW12" s="205">
        <f t="shared" si="7"/>
        <v>0</v>
      </c>
      <c r="AX12" s="205">
        <f t="shared" si="8"/>
        <v>0</v>
      </c>
      <c r="AY12" s="205">
        <f t="shared" si="8"/>
        <v>0</v>
      </c>
      <c r="AZ12" s="205">
        <f t="shared" si="8"/>
        <v>0</v>
      </c>
      <c r="BA12" s="205">
        <f t="shared" si="8"/>
        <v>0</v>
      </c>
      <c r="BB12" s="205">
        <f t="shared" si="8"/>
        <v>0</v>
      </c>
      <c r="BC12" s="205">
        <f t="shared" si="8"/>
        <v>19353.600000000002</v>
      </c>
      <c r="BD12" s="205">
        <f t="shared" si="8"/>
        <v>19353.600000000002</v>
      </c>
      <c r="BE12" s="205">
        <f t="shared" si="8"/>
        <v>19353.600000000002</v>
      </c>
      <c r="BF12" s="205">
        <f t="shared" si="8"/>
        <v>19353.600000000002</v>
      </c>
      <c r="BG12" s="205">
        <f t="shared" si="8"/>
        <v>19353.600000000002</v>
      </c>
      <c r="BH12" s="205">
        <f t="shared" si="8"/>
        <v>19353.600000000002</v>
      </c>
      <c r="BI12" s="205">
        <f t="shared" si="8"/>
        <v>19353.600000000002</v>
      </c>
      <c r="BJ12" s="205">
        <f t="shared" si="8"/>
        <v>19353.600000000002</v>
      </c>
      <c r="BK12" s="205">
        <f t="shared" si="8"/>
        <v>19353.600000000002</v>
      </c>
      <c r="BL12" s="205">
        <f t="shared" si="8"/>
        <v>19353.600000000002</v>
      </c>
      <c r="BM12" s="205">
        <f t="shared" si="8"/>
        <v>19353.600000000002</v>
      </c>
      <c r="BN12" s="205">
        <f t="shared" si="8"/>
        <v>19353.600000000002</v>
      </c>
      <c r="BO12" s="205">
        <f t="shared" si="8"/>
        <v>19353.600000000002</v>
      </c>
      <c r="BP12" s="205">
        <f t="shared" si="8"/>
        <v>19353.600000000002</v>
      </c>
      <c r="BQ12" s="205">
        <f t="shared" si="8"/>
        <v>19353.600000000002</v>
      </c>
      <c r="BR12" s="205">
        <f t="shared" si="8"/>
        <v>19353.600000000002</v>
      </c>
      <c r="BS12" s="205">
        <f t="shared" si="8"/>
        <v>19353.600000000002</v>
      </c>
      <c r="BT12" s="205">
        <f t="shared" si="8"/>
        <v>19353.600000000002</v>
      </c>
      <c r="BU12" s="205">
        <f t="shared" si="8"/>
        <v>19353.600000000002</v>
      </c>
      <c r="BV12" s="205">
        <f t="shared" si="8"/>
        <v>19353.600000000002</v>
      </c>
      <c r="BW12" s="205">
        <f t="shared" si="8"/>
        <v>19353.600000000002</v>
      </c>
      <c r="BX12" s="205">
        <f t="shared" si="8"/>
        <v>19353.600000000002</v>
      </c>
      <c r="BY12" s="205">
        <f t="shared" si="8"/>
        <v>19353.600000000002</v>
      </c>
      <c r="BZ12" s="205">
        <f t="shared" si="8"/>
        <v>19353.600000000002</v>
      </c>
      <c r="CA12" s="205">
        <f t="shared" si="2"/>
        <v>19353.600000000002</v>
      </c>
      <c r="CB12" s="205">
        <f t="shared" si="2"/>
        <v>19353.600000000002</v>
      </c>
      <c r="CC12" s="205">
        <f t="shared" si="2"/>
        <v>19353.600000000002</v>
      </c>
      <c r="CD12" s="205">
        <f t="shared" si="2"/>
        <v>19353.600000000002</v>
      </c>
      <c r="CE12" s="205">
        <f t="shared" si="2"/>
        <v>19353.600000000002</v>
      </c>
      <c r="CF12" s="205">
        <f t="shared" si="2"/>
        <v>19353.600000000002</v>
      </c>
      <c r="CG12" s="205">
        <f t="shared" si="2"/>
        <v>19353.600000000002</v>
      </c>
      <c r="CH12" s="205">
        <f t="shared" si="2"/>
        <v>19353.600000000002</v>
      </c>
      <c r="CI12" s="205">
        <f t="shared" si="2"/>
        <v>19353.600000000002</v>
      </c>
      <c r="CJ12" s="205">
        <f t="shared" si="2"/>
        <v>19353.600000000002</v>
      </c>
      <c r="CK12" s="205">
        <f t="shared" si="2"/>
        <v>19353.600000000002</v>
      </c>
      <c r="CL12" s="205">
        <f t="shared" si="2"/>
        <v>19353.600000000002</v>
      </c>
      <c r="CM12" s="205">
        <f t="shared" si="2"/>
        <v>19353.600000000002</v>
      </c>
      <c r="CN12" s="205">
        <f t="shared" si="2"/>
        <v>19353.600000000002</v>
      </c>
      <c r="CO12" s="205">
        <f t="shared" si="2"/>
        <v>19353.600000000002</v>
      </c>
      <c r="CP12" s="205">
        <f t="shared" si="2"/>
        <v>19353.600000000002</v>
      </c>
      <c r="CQ12" s="205">
        <f t="shared" si="2"/>
        <v>19353.600000000002</v>
      </c>
      <c r="CR12" s="205">
        <f t="shared" si="2"/>
        <v>19353.600000000002</v>
      </c>
      <c r="CS12" s="205">
        <f t="shared" si="3"/>
        <v>19353.600000000002</v>
      </c>
      <c r="CT12" s="205">
        <f t="shared" si="3"/>
        <v>19353.600000000002</v>
      </c>
      <c r="CU12" s="205">
        <f t="shared" si="3"/>
        <v>19353.600000000002</v>
      </c>
      <c r="CV12" s="205">
        <f t="shared" si="3"/>
        <v>19353.600000000002</v>
      </c>
      <c r="CW12" s="205">
        <f t="shared" si="3"/>
        <v>19353.600000000002</v>
      </c>
      <c r="CX12" s="205">
        <f t="shared" si="3"/>
        <v>19353.600000000002</v>
      </c>
      <c r="CY12" s="205">
        <f t="shared" si="3"/>
        <v>19353.600000000002</v>
      </c>
      <c r="CZ12" s="205">
        <f t="shared" si="3"/>
        <v>19353.600000000002</v>
      </c>
      <c r="DA12" s="205">
        <f t="shared" si="3"/>
        <v>19353.600000000002</v>
      </c>
      <c r="DB12" s="205"/>
    </row>
    <row r="13" spans="1:106">
      <c r="A13" s="202" t="str">
        <f>Income!A83</f>
        <v>Food transfer - official</v>
      </c>
      <c r="B13" s="204">
        <f>Income!B83</f>
        <v>666.26128843769459</v>
      </c>
      <c r="C13" s="204">
        <f>Income!C83</f>
        <v>654.06827139439042</v>
      </c>
      <c r="D13" s="204">
        <f>Income!D83</f>
        <v>0</v>
      </c>
      <c r="E13" s="204">
        <f>Income!E83</f>
        <v>0</v>
      </c>
      <c r="F13" s="205">
        <f t="shared" si="4"/>
        <v>666.26128843769459</v>
      </c>
      <c r="G13" s="205">
        <f t="shared" si="4"/>
        <v>666.26128843769459</v>
      </c>
      <c r="H13" s="205">
        <f t="shared" si="4"/>
        <v>666.26128843769459</v>
      </c>
      <c r="I13" s="205">
        <f t="shared" si="4"/>
        <v>666.26128843769459</v>
      </c>
      <c r="J13" s="205">
        <f t="shared" si="4"/>
        <v>666.26128843769459</v>
      </c>
      <c r="K13" s="205">
        <f t="shared" si="4"/>
        <v>666.26128843769459</v>
      </c>
      <c r="L13" s="205">
        <f t="shared" si="4"/>
        <v>666.26128843769459</v>
      </c>
      <c r="M13" s="205">
        <f t="shared" si="4"/>
        <v>666.26128843769459</v>
      </c>
      <c r="N13" s="205">
        <f t="shared" si="4"/>
        <v>666.26128843769459</v>
      </c>
      <c r="O13" s="205">
        <f t="shared" si="4"/>
        <v>666.26128843769459</v>
      </c>
      <c r="P13" s="205">
        <f t="shared" si="4"/>
        <v>666.26128843769459</v>
      </c>
      <c r="Q13" s="205">
        <f t="shared" si="4"/>
        <v>666.26128843769459</v>
      </c>
      <c r="R13" s="205">
        <f t="shared" si="4"/>
        <v>666.26128843769459</v>
      </c>
      <c r="S13" s="205">
        <f t="shared" si="4"/>
        <v>666.26128843769459</v>
      </c>
      <c r="T13" s="205">
        <f t="shared" si="4"/>
        <v>666.26128843769459</v>
      </c>
      <c r="U13" s="205">
        <f t="shared" si="4"/>
        <v>666.26128843769459</v>
      </c>
      <c r="V13" s="205">
        <f t="shared" si="6"/>
        <v>666.26128843769459</v>
      </c>
      <c r="W13" s="205">
        <f t="shared" si="6"/>
        <v>666.26128843769459</v>
      </c>
      <c r="X13" s="205">
        <f t="shared" si="6"/>
        <v>666.26128843769459</v>
      </c>
      <c r="Y13" s="205">
        <f t="shared" si="6"/>
        <v>666.26128843769459</v>
      </c>
      <c r="Z13" s="205">
        <f t="shared" si="6"/>
        <v>666.26128843769459</v>
      </c>
      <c r="AA13" s="205">
        <f t="shared" si="6"/>
        <v>666.26128843769459</v>
      </c>
      <c r="AB13" s="205">
        <f t="shared" si="6"/>
        <v>666.26128843769459</v>
      </c>
      <c r="AC13" s="205">
        <f t="shared" si="6"/>
        <v>666.26128843769459</v>
      </c>
      <c r="AD13" s="205">
        <f t="shared" si="6"/>
        <v>666.26128843769459</v>
      </c>
      <c r="AE13" s="205">
        <f t="shared" si="6"/>
        <v>666.26128843769459</v>
      </c>
      <c r="AF13" s="205">
        <f t="shared" si="6"/>
        <v>666.26128843769459</v>
      </c>
      <c r="AG13" s="205">
        <f t="shared" si="6"/>
        <v>666.26128843769459</v>
      </c>
      <c r="AH13" s="205">
        <f t="shared" si="6"/>
        <v>666.26128843769459</v>
      </c>
      <c r="AI13" s="205">
        <f t="shared" si="6"/>
        <v>666.26128843769459</v>
      </c>
      <c r="AJ13" s="205">
        <f t="shared" si="6"/>
        <v>666.26128843769459</v>
      </c>
      <c r="AK13" s="205">
        <f t="shared" si="6"/>
        <v>666.26128843769459</v>
      </c>
      <c r="AL13" s="205">
        <f t="shared" si="7"/>
        <v>666.26128843769459</v>
      </c>
      <c r="AM13" s="205">
        <f t="shared" si="7"/>
        <v>666.26128843769459</v>
      </c>
      <c r="AN13" s="205">
        <f t="shared" si="7"/>
        <v>666.26128843769459</v>
      </c>
      <c r="AO13" s="205">
        <f t="shared" si="7"/>
        <v>666.26128843769459</v>
      </c>
      <c r="AP13" s="205">
        <f t="shared" si="7"/>
        <v>666.26128843769459</v>
      </c>
      <c r="AQ13" s="205">
        <f t="shared" si="7"/>
        <v>666.26128843769459</v>
      </c>
      <c r="AR13" s="205">
        <f t="shared" si="7"/>
        <v>666.26128843769459</v>
      </c>
      <c r="AS13" s="205">
        <f t="shared" si="7"/>
        <v>666.26128843769459</v>
      </c>
      <c r="AT13" s="205">
        <f t="shared" si="7"/>
        <v>666.26128843769459</v>
      </c>
      <c r="AU13" s="205">
        <f t="shared" si="7"/>
        <v>666.26128843769459</v>
      </c>
      <c r="AV13" s="205">
        <f t="shared" si="7"/>
        <v>666.26128843769459</v>
      </c>
      <c r="AW13" s="205">
        <f t="shared" si="7"/>
        <v>666.26128843769459</v>
      </c>
      <c r="AX13" s="205">
        <f t="shared" si="8"/>
        <v>666.26128843769459</v>
      </c>
      <c r="AY13" s="205">
        <f t="shared" si="8"/>
        <v>666.26128843769459</v>
      </c>
      <c r="AZ13" s="205">
        <f t="shared" si="8"/>
        <v>666.26128843769459</v>
      </c>
      <c r="BA13" s="205">
        <f t="shared" si="8"/>
        <v>666.26128843769459</v>
      </c>
      <c r="BB13" s="205">
        <f t="shared" si="8"/>
        <v>666.26128843769459</v>
      </c>
      <c r="BC13" s="205">
        <f t="shared" si="8"/>
        <v>0</v>
      </c>
      <c r="BD13" s="205">
        <f t="shared" si="8"/>
        <v>0</v>
      </c>
      <c r="BE13" s="205">
        <f t="shared" si="8"/>
        <v>0</v>
      </c>
      <c r="BF13" s="205">
        <f t="shared" si="8"/>
        <v>0</v>
      </c>
      <c r="BG13" s="205">
        <f t="shared" si="8"/>
        <v>0</v>
      </c>
      <c r="BH13" s="205">
        <f t="shared" si="8"/>
        <v>0</v>
      </c>
      <c r="BI13" s="205">
        <f t="shared" si="8"/>
        <v>0</v>
      </c>
      <c r="BJ13" s="205">
        <f t="shared" si="8"/>
        <v>0</v>
      </c>
      <c r="BK13" s="205">
        <f t="shared" si="8"/>
        <v>0</v>
      </c>
      <c r="BL13" s="205">
        <f t="shared" si="8"/>
        <v>0</v>
      </c>
      <c r="BM13" s="205">
        <f t="shared" si="8"/>
        <v>0</v>
      </c>
      <c r="BN13" s="205">
        <f t="shared" si="8"/>
        <v>0</v>
      </c>
      <c r="BO13" s="205">
        <f t="shared" si="8"/>
        <v>0</v>
      </c>
      <c r="BP13" s="205">
        <f t="shared" si="8"/>
        <v>0</v>
      </c>
      <c r="BQ13" s="205">
        <f t="shared" si="8"/>
        <v>0</v>
      </c>
      <c r="BR13" s="205">
        <f t="shared" si="8"/>
        <v>0</v>
      </c>
      <c r="BS13" s="205">
        <f t="shared" si="8"/>
        <v>0</v>
      </c>
      <c r="BT13" s="205">
        <f t="shared" si="8"/>
        <v>0</v>
      </c>
      <c r="BU13" s="205">
        <f t="shared" si="8"/>
        <v>0</v>
      </c>
      <c r="BV13" s="205">
        <f t="shared" si="8"/>
        <v>0</v>
      </c>
      <c r="BW13" s="205">
        <f t="shared" si="8"/>
        <v>0</v>
      </c>
      <c r="BX13" s="205">
        <f t="shared" si="8"/>
        <v>0</v>
      </c>
      <c r="BY13" s="205">
        <f t="shared" si="8"/>
        <v>0</v>
      </c>
      <c r="BZ13" s="205">
        <f t="shared" si="8"/>
        <v>0</v>
      </c>
      <c r="CA13" s="205">
        <f t="shared" si="2"/>
        <v>0</v>
      </c>
      <c r="CB13" s="205">
        <f t="shared" si="2"/>
        <v>0</v>
      </c>
      <c r="CC13" s="205">
        <f t="shared" si="2"/>
        <v>0</v>
      </c>
      <c r="CD13" s="205">
        <f t="shared" si="2"/>
        <v>0</v>
      </c>
      <c r="CE13" s="205">
        <f t="shared" si="2"/>
        <v>0</v>
      </c>
      <c r="CF13" s="205">
        <f t="shared" si="2"/>
        <v>0</v>
      </c>
      <c r="CG13" s="205">
        <f t="shared" si="2"/>
        <v>0</v>
      </c>
      <c r="CH13" s="205">
        <f t="shared" si="2"/>
        <v>0</v>
      </c>
      <c r="CI13" s="205">
        <f t="shared" si="2"/>
        <v>0</v>
      </c>
      <c r="CJ13" s="205">
        <f t="shared" si="2"/>
        <v>0</v>
      </c>
      <c r="CK13" s="205">
        <f t="shared" si="2"/>
        <v>0</v>
      </c>
      <c r="CL13" s="205">
        <f t="shared" si="2"/>
        <v>0</v>
      </c>
      <c r="CM13" s="205">
        <f t="shared" si="2"/>
        <v>0</v>
      </c>
      <c r="CN13" s="205">
        <f t="shared" si="2"/>
        <v>0</v>
      </c>
      <c r="CO13" s="205">
        <f t="shared" si="2"/>
        <v>0</v>
      </c>
      <c r="CP13" s="205">
        <f t="shared" si="2"/>
        <v>0</v>
      </c>
      <c r="CQ13" s="205">
        <f t="shared" si="2"/>
        <v>0</v>
      </c>
      <c r="CR13" s="205">
        <f t="shared" si="2"/>
        <v>0</v>
      </c>
      <c r="CS13" s="205">
        <f t="shared" si="3"/>
        <v>0</v>
      </c>
      <c r="CT13" s="205">
        <f t="shared" si="3"/>
        <v>0</v>
      </c>
      <c r="CU13" s="205">
        <f t="shared" si="3"/>
        <v>0</v>
      </c>
      <c r="CV13" s="205">
        <f t="shared" si="3"/>
        <v>0</v>
      </c>
      <c r="CW13" s="205">
        <f t="shared" si="3"/>
        <v>0</v>
      </c>
      <c r="CX13" s="205">
        <f t="shared" si="3"/>
        <v>0</v>
      </c>
      <c r="CY13" s="205">
        <f t="shared" si="3"/>
        <v>0</v>
      </c>
      <c r="CZ13" s="205">
        <f t="shared" si="3"/>
        <v>0</v>
      </c>
      <c r="DA13" s="205">
        <f t="shared" si="3"/>
        <v>0</v>
      </c>
      <c r="DB13" s="205"/>
    </row>
    <row r="14" spans="1:106">
      <c r="A14" s="202" t="str">
        <f>Income!A85</f>
        <v>Cash transfer - official</v>
      </c>
      <c r="B14" s="204">
        <f>Income!B85</f>
        <v>22378.617310981866</v>
      </c>
      <c r="C14" s="204">
        <f>Income!C85</f>
        <v>22378.617310981866</v>
      </c>
      <c r="D14" s="204">
        <f>Income!D85</f>
        <v>9048.3949367088626</v>
      </c>
      <c r="E14" s="204">
        <f>Income!E85</f>
        <v>10858.073924050634</v>
      </c>
      <c r="F14" s="205">
        <f t="shared" si="4"/>
        <v>22378.617310981866</v>
      </c>
      <c r="G14" s="205">
        <f t="shared" si="4"/>
        <v>22378.617310981866</v>
      </c>
      <c r="H14" s="205">
        <f t="shared" si="4"/>
        <v>22378.617310981866</v>
      </c>
      <c r="I14" s="205">
        <f t="shared" si="4"/>
        <v>22378.617310981866</v>
      </c>
      <c r="J14" s="205">
        <f t="shared" si="4"/>
        <v>22378.617310981866</v>
      </c>
      <c r="K14" s="205">
        <f t="shared" si="4"/>
        <v>22378.617310981866</v>
      </c>
      <c r="L14" s="205">
        <f t="shared" si="4"/>
        <v>22378.617310981866</v>
      </c>
      <c r="M14" s="205">
        <f t="shared" si="4"/>
        <v>22378.617310981866</v>
      </c>
      <c r="N14" s="205">
        <f t="shared" si="4"/>
        <v>22378.617310981866</v>
      </c>
      <c r="O14" s="205">
        <f t="shared" si="4"/>
        <v>22378.617310981866</v>
      </c>
      <c r="P14" s="205">
        <f t="shared" si="4"/>
        <v>22378.617310981866</v>
      </c>
      <c r="Q14" s="205">
        <f t="shared" si="4"/>
        <v>22378.617310981866</v>
      </c>
      <c r="R14" s="205">
        <f t="shared" si="4"/>
        <v>22378.617310981866</v>
      </c>
      <c r="S14" s="205">
        <f t="shared" si="4"/>
        <v>22378.617310981866</v>
      </c>
      <c r="T14" s="205">
        <f t="shared" si="4"/>
        <v>22378.617310981866</v>
      </c>
      <c r="U14" s="205">
        <f t="shared" si="4"/>
        <v>22378.617310981866</v>
      </c>
      <c r="V14" s="205">
        <f t="shared" si="6"/>
        <v>22378.617310981866</v>
      </c>
      <c r="W14" s="205">
        <f t="shared" si="6"/>
        <v>22378.617310981866</v>
      </c>
      <c r="X14" s="205">
        <f t="shared" si="6"/>
        <v>22378.617310981866</v>
      </c>
      <c r="Y14" s="205">
        <f t="shared" si="6"/>
        <v>22378.617310981866</v>
      </c>
      <c r="Z14" s="205">
        <f t="shared" si="6"/>
        <v>22378.617310981866</v>
      </c>
      <c r="AA14" s="205">
        <f t="shared" si="6"/>
        <v>22378.617310981866</v>
      </c>
      <c r="AB14" s="205">
        <f t="shared" si="6"/>
        <v>22378.617310981866</v>
      </c>
      <c r="AC14" s="205">
        <f t="shared" si="6"/>
        <v>22378.617310981866</v>
      </c>
      <c r="AD14" s="205">
        <f t="shared" si="6"/>
        <v>22378.617310981866</v>
      </c>
      <c r="AE14" s="205">
        <f t="shared" si="6"/>
        <v>22378.617310981866</v>
      </c>
      <c r="AF14" s="205">
        <f t="shared" si="6"/>
        <v>22378.617310981866</v>
      </c>
      <c r="AG14" s="205">
        <f t="shared" si="6"/>
        <v>22378.617310981866</v>
      </c>
      <c r="AH14" s="205">
        <f t="shared" si="6"/>
        <v>22378.617310981866</v>
      </c>
      <c r="AI14" s="205">
        <f t="shared" si="6"/>
        <v>22378.617310981866</v>
      </c>
      <c r="AJ14" s="205">
        <f t="shared" si="6"/>
        <v>22378.617310981866</v>
      </c>
      <c r="AK14" s="205">
        <f t="shared" si="6"/>
        <v>22378.617310981866</v>
      </c>
      <c r="AL14" s="205">
        <f t="shared" si="7"/>
        <v>22378.617310981866</v>
      </c>
      <c r="AM14" s="205">
        <f t="shared" si="7"/>
        <v>22378.617310981866</v>
      </c>
      <c r="AN14" s="205">
        <f t="shared" si="7"/>
        <v>22378.617310981866</v>
      </c>
      <c r="AO14" s="205">
        <f t="shared" si="7"/>
        <v>22378.617310981866</v>
      </c>
      <c r="AP14" s="205">
        <f t="shared" si="7"/>
        <v>22378.617310981866</v>
      </c>
      <c r="AQ14" s="205">
        <f t="shared" si="7"/>
        <v>22378.617310981866</v>
      </c>
      <c r="AR14" s="205">
        <f t="shared" si="7"/>
        <v>22378.617310981866</v>
      </c>
      <c r="AS14" s="205">
        <f t="shared" si="7"/>
        <v>22378.617310981866</v>
      </c>
      <c r="AT14" s="205">
        <f t="shared" si="7"/>
        <v>22378.617310981866</v>
      </c>
      <c r="AU14" s="205">
        <f t="shared" si="7"/>
        <v>22378.617310981866</v>
      </c>
      <c r="AV14" s="205">
        <f t="shared" si="7"/>
        <v>22378.617310981866</v>
      </c>
      <c r="AW14" s="205">
        <f t="shared" si="7"/>
        <v>22378.617310981866</v>
      </c>
      <c r="AX14" s="205">
        <f t="shared" si="7"/>
        <v>22378.617310981866</v>
      </c>
      <c r="AY14" s="205">
        <f t="shared" si="7"/>
        <v>22378.617310981866</v>
      </c>
      <c r="AZ14" s="205">
        <f t="shared" si="7"/>
        <v>22378.617310981866</v>
      </c>
      <c r="BA14" s="205">
        <f t="shared" si="7"/>
        <v>22378.617310981866</v>
      </c>
      <c r="BB14" s="205">
        <f t="shared" si="8"/>
        <v>22378.617310981866</v>
      </c>
      <c r="BC14" s="205">
        <f t="shared" si="8"/>
        <v>10858.073924050634</v>
      </c>
      <c r="BD14" s="205">
        <f t="shared" si="8"/>
        <v>10858.073924050634</v>
      </c>
      <c r="BE14" s="205">
        <f t="shared" si="8"/>
        <v>10858.073924050634</v>
      </c>
      <c r="BF14" s="205">
        <f t="shared" si="8"/>
        <v>10858.073924050634</v>
      </c>
      <c r="BG14" s="205">
        <f t="shared" si="8"/>
        <v>10858.073924050634</v>
      </c>
      <c r="BH14" s="205">
        <f t="shared" si="8"/>
        <v>10858.073924050634</v>
      </c>
      <c r="BI14" s="205">
        <f t="shared" si="8"/>
        <v>10858.073924050634</v>
      </c>
      <c r="BJ14" s="205">
        <f t="shared" si="8"/>
        <v>10858.073924050634</v>
      </c>
      <c r="BK14" s="205">
        <f t="shared" si="8"/>
        <v>10858.073924050634</v>
      </c>
      <c r="BL14" s="205">
        <f t="shared" si="8"/>
        <v>10858.073924050634</v>
      </c>
      <c r="BM14" s="205">
        <f t="shared" si="8"/>
        <v>10858.073924050634</v>
      </c>
      <c r="BN14" s="205">
        <f t="shared" si="8"/>
        <v>10858.073924050634</v>
      </c>
      <c r="BO14" s="205">
        <f t="shared" si="8"/>
        <v>10858.073924050634</v>
      </c>
      <c r="BP14" s="205">
        <f t="shared" si="8"/>
        <v>10858.073924050634</v>
      </c>
      <c r="BQ14" s="205">
        <f t="shared" si="8"/>
        <v>10858.073924050634</v>
      </c>
      <c r="BR14" s="205">
        <f t="shared" si="8"/>
        <v>10858.073924050634</v>
      </c>
      <c r="BS14" s="205">
        <f t="shared" si="8"/>
        <v>10858.073924050634</v>
      </c>
      <c r="BT14" s="205">
        <f t="shared" si="8"/>
        <v>10858.073924050634</v>
      </c>
      <c r="BU14" s="205">
        <f t="shared" si="8"/>
        <v>10858.073924050634</v>
      </c>
      <c r="BV14" s="205">
        <f t="shared" si="8"/>
        <v>10858.073924050634</v>
      </c>
      <c r="BW14" s="205">
        <f t="shared" si="8"/>
        <v>10858.073924050634</v>
      </c>
      <c r="BX14" s="205">
        <f t="shared" si="8"/>
        <v>10858.073924050634</v>
      </c>
      <c r="BY14" s="205">
        <f t="shared" si="8"/>
        <v>10858.073924050634</v>
      </c>
      <c r="BZ14" s="205">
        <f t="shared" si="8"/>
        <v>10858.073924050634</v>
      </c>
      <c r="CA14" s="205">
        <f t="shared" si="2"/>
        <v>10858.073924050634</v>
      </c>
      <c r="CB14" s="205">
        <f t="shared" si="2"/>
        <v>10858.073924050634</v>
      </c>
      <c r="CC14" s="205">
        <f t="shared" si="2"/>
        <v>10858.073924050634</v>
      </c>
      <c r="CD14" s="205">
        <f t="shared" si="2"/>
        <v>10858.073924050634</v>
      </c>
      <c r="CE14" s="205">
        <f t="shared" si="2"/>
        <v>10858.073924050634</v>
      </c>
      <c r="CF14" s="205">
        <f t="shared" si="2"/>
        <v>10858.073924050634</v>
      </c>
      <c r="CG14" s="205">
        <f t="shared" si="2"/>
        <v>10858.073924050634</v>
      </c>
      <c r="CH14" s="205">
        <f t="shared" si="2"/>
        <v>10858.073924050634</v>
      </c>
      <c r="CI14" s="205">
        <f t="shared" si="2"/>
        <v>10858.073924050634</v>
      </c>
      <c r="CJ14" s="205">
        <f t="shared" si="2"/>
        <v>10858.073924050634</v>
      </c>
      <c r="CK14" s="205">
        <f t="shared" si="2"/>
        <v>10858.073924050634</v>
      </c>
      <c r="CL14" s="205">
        <f t="shared" si="2"/>
        <v>10858.073924050634</v>
      </c>
      <c r="CM14" s="205">
        <f t="shared" si="2"/>
        <v>10858.073924050634</v>
      </c>
      <c r="CN14" s="205">
        <f t="shared" si="2"/>
        <v>10858.073924050634</v>
      </c>
      <c r="CO14" s="205">
        <f t="shared" si="2"/>
        <v>10858.073924050634</v>
      </c>
      <c r="CP14" s="205">
        <f t="shared" si="2"/>
        <v>10858.073924050634</v>
      </c>
      <c r="CQ14" s="205">
        <f t="shared" si="2"/>
        <v>10858.073924050634</v>
      </c>
      <c r="CR14" s="205">
        <f t="shared" si="2"/>
        <v>10858.073924050634</v>
      </c>
      <c r="CS14" s="205">
        <f t="shared" si="3"/>
        <v>10858.073924050634</v>
      </c>
      <c r="CT14" s="205">
        <f t="shared" si="3"/>
        <v>10858.073924050634</v>
      </c>
      <c r="CU14" s="205">
        <f t="shared" si="3"/>
        <v>10858.073924050634</v>
      </c>
      <c r="CV14" s="205">
        <f t="shared" si="3"/>
        <v>10858.073924050634</v>
      </c>
      <c r="CW14" s="205">
        <f t="shared" si="3"/>
        <v>10858.073924050634</v>
      </c>
      <c r="CX14" s="205">
        <f t="shared" si="3"/>
        <v>10858.073924050634</v>
      </c>
      <c r="CY14" s="205">
        <f t="shared" si="3"/>
        <v>10858.073924050634</v>
      </c>
      <c r="CZ14" s="205">
        <f t="shared" si="3"/>
        <v>10858.073924050634</v>
      </c>
      <c r="DA14" s="205">
        <f t="shared" si="3"/>
        <v>10858.073924050634</v>
      </c>
      <c r="DB14" s="205"/>
    </row>
    <row r="15" spans="1:106">
      <c r="A15" s="202" t="str">
        <f>Income!A86</f>
        <v>Cash transfer - gifts</v>
      </c>
      <c r="B15" s="204">
        <f>Income!B86</f>
        <v>2688.0000000000005</v>
      </c>
      <c r="C15" s="204">
        <f>Income!C86</f>
        <v>4032.0000000000005</v>
      </c>
      <c r="D15" s="204">
        <f>Income!D86</f>
        <v>26880.000000000004</v>
      </c>
      <c r="E15" s="204">
        <f>Income!E86</f>
        <v>48384.000000000015</v>
      </c>
      <c r="F15" s="205">
        <f t="shared" si="4"/>
        <v>2688.0000000000005</v>
      </c>
      <c r="G15" s="205">
        <f t="shared" si="4"/>
        <v>2688.0000000000005</v>
      </c>
      <c r="H15" s="205">
        <f t="shared" si="4"/>
        <v>2688.0000000000005</v>
      </c>
      <c r="I15" s="205">
        <f t="shared" si="4"/>
        <v>2688.0000000000005</v>
      </c>
      <c r="J15" s="205">
        <f t="shared" si="4"/>
        <v>2688.0000000000005</v>
      </c>
      <c r="K15" s="205">
        <f t="shared" si="4"/>
        <v>2688.0000000000005</v>
      </c>
      <c r="L15" s="205">
        <f t="shared" si="4"/>
        <v>2688.0000000000005</v>
      </c>
      <c r="M15" s="205">
        <f t="shared" si="4"/>
        <v>2688.0000000000005</v>
      </c>
      <c r="N15" s="205">
        <f t="shared" si="4"/>
        <v>2688.0000000000005</v>
      </c>
      <c r="O15" s="205">
        <f t="shared" si="4"/>
        <v>2688.0000000000005</v>
      </c>
      <c r="P15" s="205">
        <f t="shared" si="4"/>
        <v>2688.0000000000005</v>
      </c>
      <c r="Q15" s="205">
        <f t="shared" si="4"/>
        <v>2688.0000000000005</v>
      </c>
      <c r="R15" s="205">
        <f t="shared" si="4"/>
        <v>2688.0000000000005</v>
      </c>
      <c r="S15" s="205">
        <f t="shared" si="4"/>
        <v>2688.0000000000005</v>
      </c>
      <c r="T15" s="205">
        <f t="shared" si="4"/>
        <v>2688.0000000000005</v>
      </c>
      <c r="U15" s="205">
        <f t="shared" si="4"/>
        <v>2688.0000000000005</v>
      </c>
      <c r="V15" s="205">
        <f t="shared" si="6"/>
        <v>2688.0000000000005</v>
      </c>
      <c r="W15" s="205">
        <f t="shared" si="6"/>
        <v>2688.0000000000005</v>
      </c>
      <c r="X15" s="205">
        <f t="shared" si="6"/>
        <v>2688.0000000000005</v>
      </c>
      <c r="Y15" s="205">
        <f t="shared" si="6"/>
        <v>2688.0000000000005</v>
      </c>
      <c r="Z15" s="205">
        <f t="shared" si="6"/>
        <v>2688.0000000000005</v>
      </c>
      <c r="AA15" s="205">
        <f t="shared" si="6"/>
        <v>2688.0000000000005</v>
      </c>
      <c r="AB15" s="205">
        <f t="shared" si="6"/>
        <v>2688.0000000000005</v>
      </c>
      <c r="AC15" s="205">
        <f t="shared" si="6"/>
        <v>2688.0000000000005</v>
      </c>
      <c r="AD15" s="205">
        <f t="shared" si="6"/>
        <v>2688.0000000000005</v>
      </c>
      <c r="AE15" s="205">
        <f t="shared" si="6"/>
        <v>2688.0000000000005</v>
      </c>
      <c r="AF15" s="205">
        <f t="shared" si="6"/>
        <v>2688.0000000000005</v>
      </c>
      <c r="AG15" s="205">
        <f t="shared" si="6"/>
        <v>2688.0000000000005</v>
      </c>
      <c r="AH15" s="205">
        <f t="shared" si="6"/>
        <v>2688.0000000000005</v>
      </c>
      <c r="AI15" s="205">
        <f t="shared" si="6"/>
        <v>2688.0000000000005</v>
      </c>
      <c r="AJ15" s="205">
        <f t="shared" si="6"/>
        <v>2688.0000000000005</v>
      </c>
      <c r="AK15" s="205">
        <f t="shared" si="6"/>
        <v>2688.0000000000005</v>
      </c>
      <c r="AL15" s="205">
        <f t="shared" si="7"/>
        <v>2688.0000000000005</v>
      </c>
      <c r="AM15" s="205">
        <f t="shared" si="7"/>
        <v>2688.0000000000005</v>
      </c>
      <c r="AN15" s="205">
        <f t="shared" si="7"/>
        <v>2688.0000000000005</v>
      </c>
      <c r="AO15" s="205">
        <f t="shared" si="7"/>
        <v>2688.0000000000005</v>
      </c>
      <c r="AP15" s="205">
        <f t="shared" si="7"/>
        <v>2688.0000000000005</v>
      </c>
      <c r="AQ15" s="205">
        <f t="shared" si="7"/>
        <v>2688.0000000000005</v>
      </c>
      <c r="AR15" s="205">
        <f t="shared" si="7"/>
        <v>2688.0000000000005</v>
      </c>
      <c r="AS15" s="205">
        <f t="shared" si="7"/>
        <v>2688.0000000000005</v>
      </c>
      <c r="AT15" s="205">
        <f t="shared" si="7"/>
        <v>2688.0000000000005</v>
      </c>
      <c r="AU15" s="205">
        <f t="shared" si="7"/>
        <v>2688.0000000000005</v>
      </c>
      <c r="AV15" s="205">
        <f t="shared" si="7"/>
        <v>2688.0000000000005</v>
      </c>
      <c r="AW15" s="205">
        <f t="shared" si="7"/>
        <v>2688.0000000000005</v>
      </c>
      <c r="AX15" s="205">
        <f t="shared" si="8"/>
        <v>2688.0000000000005</v>
      </c>
      <c r="AY15" s="205">
        <f t="shared" si="8"/>
        <v>2688.0000000000005</v>
      </c>
      <c r="AZ15" s="205">
        <f t="shared" si="8"/>
        <v>2688.0000000000005</v>
      </c>
      <c r="BA15" s="205">
        <f t="shared" si="8"/>
        <v>2688.0000000000005</v>
      </c>
      <c r="BB15" s="205">
        <f t="shared" si="8"/>
        <v>2688.0000000000005</v>
      </c>
      <c r="BC15" s="205">
        <f t="shared" si="8"/>
        <v>48384.000000000015</v>
      </c>
      <c r="BD15" s="205">
        <f t="shared" si="8"/>
        <v>48384.000000000015</v>
      </c>
      <c r="BE15" s="205">
        <f t="shared" si="8"/>
        <v>48384.000000000015</v>
      </c>
      <c r="BF15" s="205">
        <f t="shared" si="8"/>
        <v>48384.000000000015</v>
      </c>
      <c r="BG15" s="205">
        <f t="shared" si="8"/>
        <v>48384.000000000015</v>
      </c>
      <c r="BH15" s="205">
        <f t="shared" si="8"/>
        <v>48384.000000000015</v>
      </c>
      <c r="BI15" s="205">
        <f t="shared" si="8"/>
        <v>48384.000000000015</v>
      </c>
      <c r="BJ15" s="205">
        <f t="shared" si="8"/>
        <v>48384.000000000015</v>
      </c>
      <c r="BK15" s="205">
        <f t="shared" si="8"/>
        <v>48384.000000000015</v>
      </c>
      <c r="BL15" s="205">
        <f t="shared" si="8"/>
        <v>48384.000000000015</v>
      </c>
      <c r="BM15" s="205">
        <f t="shared" si="8"/>
        <v>48384.000000000015</v>
      </c>
      <c r="BN15" s="205">
        <f t="shared" si="8"/>
        <v>48384.000000000015</v>
      </c>
      <c r="BO15" s="205">
        <f t="shared" si="8"/>
        <v>48384.000000000015</v>
      </c>
      <c r="BP15" s="205">
        <f t="shared" si="8"/>
        <v>48384.000000000015</v>
      </c>
      <c r="BQ15" s="205">
        <f t="shared" si="8"/>
        <v>48384.000000000015</v>
      </c>
      <c r="BR15" s="205">
        <f t="shared" si="8"/>
        <v>48384.000000000015</v>
      </c>
      <c r="BS15" s="205">
        <f t="shared" si="8"/>
        <v>48384.000000000015</v>
      </c>
      <c r="BT15" s="205">
        <f t="shared" si="8"/>
        <v>48384.000000000015</v>
      </c>
      <c r="BU15" s="205">
        <f t="shared" si="8"/>
        <v>48384.000000000015</v>
      </c>
      <c r="BV15" s="205">
        <f t="shared" si="8"/>
        <v>48384.000000000015</v>
      </c>
      <c r="BW15" s="205">
        <f t="shared" si="8"/>
        <v>48384.000000000015</v>
      </c>
      <c r="BX15" s="205">
        <f t="shared" si="8"/>
        <v>48384.000000000015</v>
      </c>
      <c r="BY15" s="205">
        <f t="shared" si="8"/>
        <v>48384.000000000015</v>
      </c>
      <c r="BZ15" s="205">
        <f t="shared" si="8"/>
        <v>48384.000000000015</v>
      </c>
      <c r="CA15" s="205">
        <f t="shared" si="2"/>
        <v>48384.000000000015</v>
      </c>
      <c r="CB15" s="205">
        <f t="shared" si="2"/>
        <v>48384.000000000015</v>
      </c>
      <c r="CC15" s="205">
        <f t="shared" si="2"/>
        <v>48384.000000000015</v>
      </c>
      <c r="CD15" s="205">
        <f t="shared" ref="CC15:CR18" si="9">IF(CD$2&lt;=($B$2+$C$2+$D$2),IF(CD$2&lt;=($B$2+$C$2),IF(CD$2&lt;=$B$2,$B15,$C15),$D15),$E15)</f>
        <v>48384.000000000015</v>
      </c>
      <c r="CE15" s="205">
        <f t="shared" si="9"/>
        <v>48384.000000000015</v>
      </c>
      <c r="CF15" s="205">
        <f t="shared" si="9"/>
        <v>48384.000000000015</v>
      </c>
      <c r="CG15" s="205">
        <f t="shared" si="9"/>
        <v>48384.000000000015</v>
      </c>
      <c r="CH15" s="205">
        <f t="shared" si="9"/>
        <v>48384.000000000015</v>
      </c>
      <c r="CI15" s="205">
        <f t="shared" si="9"/>
        <v>48384.000000000015</v>
      </c>
      <c r="CJ15" s="205">
        <f t="shared" si="9"/>
        <v>48384.000000000015</v>
      </c>
      <c r="CK15" s="205">
        <f t="shared" si="9"/>
        <v>48384.000000000015</v>
      </c>
      <c r="CL15" s="205">
        <f t="shared" si="9"/>
        <v>48384.000000000015</v>
      </c>
      <c r="CM15" s="205">
        <f t="shared" si="9"/>
        <v>48384.000000000015</v>
      </c>
      <c r="CN15" s="205">
        <f t="shared" si="9"/>
        <v>48384.000000000015</v>
      </c>
      <c r="CO15" s="205">
        <f t="shared" si="9"/>
        <v>48384.000000000015</v>
      </c>
      <c r="CP15" s="205">
        <f t="shared" si="9"/>
        <v>48384.000000000015</v>
      </c>
      <c r="CQ15" s="205">
        <f t="shared" si="9"/>
        <v>48384.000000000015</v>
      </c>
      <c r="CR15" s="205">
        <f t="shared" si="9"/>
        <v>48384.000000000015</v>
      </c>
      <c r="CS15" s="205">
        <f t="shared" si="3"/>
        <v>48384.000000000015</v>
      </c>
      <c r="CT15" s="205">
        <f t="shared" si="3"/>
        <v>48384.000000000015</v>
      </c>
      <c r="CU15" s="205">
        <f t="shared" si="3"/>
        <v>48384.000000000015</v>
      </c>
      <c r="CV15" s="205">
        <f t="shared" si="3"/>
        <v>48384.000000000015</v>
      </c>
      <c r="CW15" s="205">
        <f t="shared" si="3"/>
        <v>48384.000000000015</v>
      </c>
      <c r="CX15" s="205">
        <f t="shared" si="3"/>
        <v>48384.000000000015</v>
      </c>
      <c r="CY15" s="205">
        <f t="shared" si="3"/>
        <v>48384.000000000015</v>
      </c>
      <c r="CZ15" s="205">
        <f t="shared" si="3"/>
        <v>48384.000000000015</v>
      </c>
      <c r="DA15" s="205">
        <f t="shared" si="3"/>
        <v>48384.000000000015</v>
      </c>
      <c r="DB15" s="205"/>
    </row>
    <row r="16" spans="1:106">
      <c r="A16" s="202" t="s">
        <v>117</v>
      </c>
      <c r="B16" s="204">
        <f>Income!B88</f>
        <v>39915.093103963438</v>
      </c>
      <c r="C16" s="204">
        <f>Income!C88</f>
        <v>52902.183028208383</v>
      </c>
      <c r="D16" s="204">
        <f>Income!D88</f>
        <v>102555.39755686156</v>
      </c>
      <c r="E16" s="204">
        <f>Income!E88</f>
        <v>408503.60214977665</v>
      </c>
      <c r="F16" s="205">
        <f t="shared" si="4"/>
        <v>39915.093103963438</v>
      </c>
      <c r="G16" s="205">
        <f t="shared" si="4"/>
        <v>39915.093103963438</v>
      </c>
      <c r="H16" s="205">
        <f t="shared" si="4"/>
        <v>39915.093103963438</v>
      </c>
      <c r="I16" s="205">
        <f t="shared" si="4"/>
        <v>39915.093103963438</v>
      </c>
      <c r="J16" s="205">
        <f t="shared" si="4"/>
        <v>39915.093103963438</v>
      </c>
      <c r="K16" s="205">
        <f t="shared" si="4"/>
        <v>39915.093103963438</v>
      </c>
      <c r="L16" s="205">
        <f t="shared" si="4"/>
        <v>39915.093103963438</v>
      </c>
      <c r="M16" s="205">
        <f t="shared" si="4"/>
        <v>39915.093103963438</v>
      </c>
      <c r="N16" s="205">
        <f t="shared" si="4"/>
        <v>39915.093103963438</v>
      </c>
      <c r="O16" s="205">
        <f t="shared" si="4"/>
        <v>39915.093103963438</v>
      </c>
      <c r="P16" s="205">
        <f t="shared" si="4"/>
        <v>39915.093103963438</v>
      </c>
      <c r="Q16" s="205">
        <f t="shared" si="4"/>
        <v>39915.093103963438</v>
      </c>
      <c r="R16" s="205">
        <f t="shared" si="4"/>
        <v>39915.093103963438</v>
      </c>
      <c r="S16" s="205">
        <f t="shared" si="4"/>
        <v>39915.093103963438</v>
      </c>
      <c r="T16" s="205">
        <f t="shared" si="4"/>
        <v>39915.093103963438</v>
      </c>
      <c r="U16" s="205">
        <f t="shared" si="4"/>
        <v>39915.093103963438</v>
      </c>
      <c r="V16" s="205">
        <f t="shared" si="6"/>
        <v>39915.093103963438</v>
      </c>
      <c r="W16" s="205">
        <f t="shared" si="6"/>
        <v>39915.093103963438</v>
      </c>
      <c r="X16" s="205">
        <f t="shared" si="6"/>
        <v>39915.093103963438</v>
      </c>
      <c r="Y16" s="205">
        <f t="shared" si="6"/>
        <v>39915.093103963438</v>
      </c>
      <c r="Z16" s="205">
        <f t="shared" si="6"/>
        <v>39915.093103963438</v>
      </c>
      <c r="AA16" s="205">
        <f t="shared" si="6"/>
        <v>39915.093103963438</v>
      </c>
      <c r="AB16" s="205">
        <f t="shared" si="6"/>
        <v>39915.093103963438</v>
      </c>
      <c r="AC16" s="205">
        <f t="shared" si="6"/>
        <v>39915.093103963438</v>
      </c>
      <c r="AD16" s="205">
        <f t="shared" si="6"/>
        <v>39915.093103963438</v>
      </c>
      <c r="AE16" s="205">
        <f>IF(AE$2&lt;=($B$2+$C$2+$D$2),IF(AE$2&lt;=($B$2+$C$2),IF(AE$2&lt;=$B$2,$B16,$C16),$D16),$E16)</f>
        <v>39915.093103963438</v>
      </c>
      <c r="AF16" s="205">
        <f t="shared" si="6"/>
        <v>39915.093103963438</v>
      </c>
      <c r="AG16" s="205">
        <f t="shared" si="6"/>
        <v>39915.093103963438</v>
      </c>
      <c r="AH16" s="205">
        <f t="shared" si="6"/>
        <v>39915.093103963438</v>
      </c>
      <c r="AI16" s="205">
        <f t="shared" si="6"/>
        <v>39915.093103963438</v>
      </c>
      <c r="AJ16" s="205">
        <f t="shared" si="6"/>
        <v>39915.093103963438</v>
      </c>
      <c r="AK16" s="205">
        <f t="shared" si="6"/>
        <v>39915.093103963438</v>
      </c>
      <c r="AL16" s="205">
        <f t="shared" si="7"/>
        <v>39915.093103963438</v>
      </c>
      <c r="AM16" s="205">
        <f t="shared" si="7"/>
        <v>39915.093103963438</v>
      </c>
      <c r="AN16" s="205">
        <f t="shared" si="7"/>
        <v>39915.093103963438</v>
      </c>
      <c r="AO16" s="205">
        <f t="shared" si="7"/>
        <v>39915.093103963438</v>
      </c>
      <c r="AP16" s="205">
        <f t="shared" si="7"/>
        <v>39915.093103963438</v>
      </c>
      <c r="AQ16" s="205">
        <f t="shared" si="7"/>
        <v>39915.093103963438</v>
      </c>
      <c r="AR16" s="205">
        <f t="shared" si="7"/>
        <v>39915.093103963438</v>
      </c>
      <c r="AS16" s="205">
        <f t="shared" si="7"/>
        <v>39915.093103963438</v>
      </c>
      <c r="AT16" s="205">
        <f t="shared" si="7"/>
        <v>39915.093103963438</v>
      </c>
      <c r="AU16" s="205">
        <f t="shared" si="7"/>
        <v>39915.093103963438</v>
      </c>
      <c r="AV16" s="205">
        <f t="shared" si="7"/>
        <v>39915.093103963438</v>
      </c>
      <c r="AW16" s="205">
        <f t="shared" si="7"/>
        <v>39915.093103963438</v>
      </c>
      <c r="AX16" s="205">
        <f t="shared" si="8"/>
        <v>39915.093103963438</v>
      </c>
      <c r="AY16" s="205">
        <f t="shared" si="8"/>
        <v>39915.093103963438</v>
      </c>
      <c r="AZ16" s="205">
        <f t="shared" si="8"/>
        <v>39915.093103963438</v>
      </c>
      <c r="BA16" s="205">
        <f t="shared" si="8"/>
        <v>39915.093103963438</v>
      </c>
      <c r="BB16" s="205">
        <f t="shared" si="8"/>
        <v>39915.093103963438</v>
      </c>
      <c r="BC16" s="205">
        <f t="shared" si="8"/>
        <v>408503.60214977665</v>
      </c>
      <c r="BD16" s="205">
        <f t="shared" si="8"/>
        <v>408503.60214977665</v>
      </c>
      <c r="BE16" s="205">
        <f t="shared" si="8"/>
        <v>408503.60214977665</v>
      </c>
      <c r="BF16" s="205">
        <f t="shared" si="8"/>
        <v>408503.60214977665</v>
      </c>
      <c r="BG16" s="205">
        <f t="shared" si="8"/>
        <v>408503.60214977665</v>
      </c>
      <c r="BH16" s="205">
        <f t="shared" si="8"/>
        <v>408503.60214977665</v>
      </c>
      <c r="BI16" s="205">
        <f t="shared" si="8"/>
        <v>408503.60214977665</v>
      </c>
      <c r="BJ16" s="205">
        <f t="shared" si="8"/>
        <v>408503.60214977665</v>
      </c>
      <c r="BK16" s="205">
        <f t="shared" si="8"/>
        <v>408503.60214977665</v>
      </c>
      <c r="BL16" s="205">
        <f t="shared" si="8"/>
        <v>408503.60214977665</v>
      </c>
      <c r="BM16" s="205">
        <f t="shared" si="8"/>
        <v>408503.60214977665</v>
      </c>
      <c r="BN16" s="205">
        <f t="shared" si="8"/>
        <v>408503.60214977665</v>
      </c>
      <c r="BO16" s="205">
        <f t="shared" si="8"/>
        <v>408503.60214977665</v>
      </c>
      <c r="BP16" s="205">
        <f t="shared" si="8"/>
        <v>408503.60214977665</v>
      </c>
      <c r="BQ16" s="205">
        <f t="shared" si="8"/>
        <v>408503.60214977665</v>
      </c>
      <c r="BR16" s="205">
        <f t="shared" si="8"/>
        <v>408503.60214977665</v>
      </c>
      <c r="BS16" s="205">
        <f t="shared" si="8"/>
        <v>408503.60214977665</v>
      </c>
      <c r="BT16" s="205">
        <f t="shared" si="8"/>
        <v>408503.60214977665</v>
      </c>
      <c r="BU16" s="205">
        <f t="shared" si="8"/>
        <v>408503.60214977665</v>
      </c>
      <c r="BV16" s="205">
        <f t="shared" si="8"/>
        <v>408503.60214977665</v>
      </c>
      <c r="BW16" s="205">
        <f t="shared" si="8"/>
        <v>408503.60214977665</v>
      </c>
      <c r="BX16" s="205">
        <f t="shared" si="8"/>
        <v>408503.60214977665</v>
      </c>
      <c r="BY16" s="205">
        <f t="shared" si="8"/>
        <v>408503.60214977665</v>
      </c>
      <c r="BZ16" s="205">
        <f t="shared" si="8"/>
        <v>408503.60214977665</v>
      </c>
      <c r="CA16" s="205">
        <f t="shared" ref="CA16:CB18" si="10">IF(CA$2&lt;=($B$2+$C$2+$D$2),IF(CA$2&lt;=($B$2+$C$2),IF(CA$2&lt;=$B$2,$B16,$C16),$D16),$E16)</f>
        <v>408503.60214977665</v>
      </c>
      <c r="CB16" s="205">
        <f t="shared" si="10"/>
        <v>408503.60214977665</v>
      </c>
      <c r="CC16" s="205">
        <f t="shared" si="9"/>
        <v>408503.60214977665</v>
      </c>
      <c r="CD16" s="205">
        <f t="shared" si="9"/>
        <v>408503.60214977665</v>
      </c>
      <c r="CE16" s="205">
        <f t="shared" si="9"/>
        <v>408503.60214977665</v>
      </c>
      <c r="CF16" s="205">
        <f t="shared" si="9"/>
        <v>408503.60214977665</v>
      </c>
      <c r="CG16" s="205">
        <f t="shared" si="9"/>
        <v>408503.60214977665</v>
      </c>
      <c r="CH16" s="205">
        <f t="shared" si="9"/>
        <v>408503.60214977665</v>
      </c>
      <c r="CI16" s="205">
        <f t="shared" si="9"/>
        <v>408503.60214977665</v>
      </c>
      <c r="CJ16" s="205">
        <f t="shared" si="9"/>
        <v>408503.60214977665</v>
      </c>
      <c r="CK16" s="205">
        <f t="shared" si="9"/>
        <v>408503.60214977665</v>
      </c>
      <c r="CL16" s="205">
        <f t="shared" si="9"/>
        <v>408503.60214977665</v>
      </c>
      <c r="CM16" s="205">
        <f t="shared" si="9"/>
        <v>408503.60214977665</v>
      </c>
      <c r="CN16" s="205">
        <f t="shared" si="9"/>
        <v>408503.60214977665</v>
      </c>
      <c r="CO16" s="205">
        <f t="shared" si="9"/>
        <v>408503.60214977665</v>
      </c>
      <c r="CP16" s="205">
        <f t="shared" si="9"/>
        <v>408503.60214977665</v>
      </c>
      <c r="CQ16" s="205">
        <f t="shared" si="9"/>
        <v>408503.60214977665</v>
      </c>
      <c r="CR16" s="205">
        <f t="shared" si="9"/>
        <v>408503.60214977665</v>
      </c>
      <c r="CS16" s="205">
        <f t="shared" ref="CS16:DA18" si="11">IF(CS$2&lt;=($B$2+$C$2+$D$2),IF(CS$2&lt;=($B$2+$C$2),IF(CS$2&lt;=$B$2,$B16,$C16),$D16),$E16)</f>
        <v>408503.60214977665</v>
      </c>
      <c r="CT16" s="205">
        <f t="shared" si="11"/>
        <v>408503.60214977665</v>
      </c>
      <c r="CU16" s="205">
        <f t="shared" si="11"/>
        <v>408503.60214977665</v>
      </c>
      <c r="CV16" s="205">
        <f t="shared" si="11"/>
        <v>408503.60214977665</v>
      </c>
      <c r="CW16" s="205">
        <f t="shared" si="11"/>
        <v>408503.60214977665</v>
      </c>
      <c r="CX16" s="205">
        <f t="shared" si="11"/>
        <v>408503.60214977665</v>
      </c>
      <c r="CY16" s="205">
        <f t="shared" si="11"/>
        <v>408503.60214977665</v>
      </c>
      <c r="CZ16" s="205">
        <f t="shared" si="11"/>
        <v>408503.60214977665</v>
      </c>
      <c r="DA16" s="205">
        <f t="shared" si="11"/>
        <v>408503.60214977665</v>
      </c>
      <c r="DB16" s="205"/>
    </row>
    <row r="17" spans="1:105">
      <c r="A17" s="202" t="s">
        <v>103</v>
      </c>
      <c r="B17" s="204">
        <f>Income!B89</f>
        <v>18678.904463959963</v>
      </c>
      <c r="C17" s="204">
        <f>Income!C89</f>
        <v>18678.904463959963</v>
      </c>
      <c r="D17" s="204">
        <f>Income!D89</f>
        <v>18678.904463959963</v>
      </c>
      <c r="E17" s="204">
        <f>Income!E89</f>
        <v>18678.904463959967</v>
      </c>
      <c r="F17" s="205">
        <f t="shared" si="4"/>
        <v>18678.904463959963</v>
      </c>
      <c r="G17" s="205">
        <f t="shared" si="4"/>
        <v>18678.904463959963</v>
      </c>
      <c r="H17" s="205">
        <f t="shared" si="4"/>
        <v>18678.904463959963</v>
      </c>
      <c r="I17" s="205">
        <f t="shared" si="4"/>
        <v>18678.904463959963</v>
      </c>
      <c r="J17" s="205">
        <f t="shared" si="4"/>
        <v>18678.904463959963</v>
      </c>
      <c r="K17" s="205">
        <f t="shared" si="4"/>
        <v>18678.904463959963</v>
      </c>
      <c r="L17" s="205">
        <f t="shared" si="4"/>
        <v>18678.904463959963</v>
      </c>
      <c r="M17" s="205">
        <f t="shared" si="4"/>
        <v>18678.904463959963</v>
      </c>
      <c r="N17" s="205">
        <f t="shared" si="4"/>
        <v>18678.904463959963</v>
      </c>
      <c r="O17" s="205">
        <f t="shared" si="4"/>
        <v>18678.904463959963</v>
      </c>
      <c r="P17" s="205">
        <f t="shared" si="4"/>
        <v>18678.904463959963</v>
      </c>
      <c r="Q17" s="205">
        <f t="shared" si="4"/>
        <v>18678.904463959963</v>
      </c>
      <c r="R17" s="205">
        <f t="shared" si="4"/>
        <v>18678.904463959963</v>
      </c>
      <c r="S17" s="205">
        <f t="shared" si="4"/>
        <v>18678.904463959963</v>
      </c>
      <c r="T17" s="205">
        <f t="shared" si="4"/>
        <v>18678.904463959963</v>
      </c>
      <c r="U17" s="205">
        <f t="shared" si="4"/>
        <v>18678.904463959963</v>
      </c>
      <c r="V17" s="205">
        <f t="shared" si="6"/>
        <v>18678.904463959963</v>
      </c>
      <c r="W17" s="205">
        <f t="shared" si="6"/>
        <v>18678.904463959963</v>
      </c>
      <c r="X17" s="205">
        <f t="shared" si="6"/>
        <v>18678.904463959963</v>
      </c>
      <c r="Y17" s="205">
        <f t="shared" si="6"/>
        <v>18678.904463959963</v>
      </c>
      <c r="Z17" s="205">
        <f t="shared" si="6"/>
        <v>18678.904463959963</v>
      </c>
      <c r="AA17" s="205">
        <f t="shared" si="6"/>
        <v>18678.904463959963</v>
      </c>
      <c r="AB17" s="205">
        <f t="shared" si="6"/>
        <v>18678.904463959963</v>
      </c>
      <c r="AC17" s="205">
        <f t="shared" si="6"/>
        <v>18678.904463959963</v>
      </c>
      <c r="AD17" s="205">
        <f t="shared" si="6"/>
        <v>18678.904463959963</v>
      </c>
      <c r="AE17" s="205">
        <f t="shared" si="6"/>
        <v>18678.904463959963</v>
      </c>
      <c r="AF17" s="205">
        <f t="shared" si="6"/>
        <v>18678.904463959963</v>
      </c>
      <c r="AG17" s="205">
        <f t="shared" si="6"/>
        <v>18678.904463959963</v>
      </c>
      <c r="AH17" s="205">
        <f t="shared" si="6"/>
        <v>18678.904463959963</v>
      </c>
      <c r="AI17" s="205">
        <f t="shared" si="6"/>
        <v>18678.904463959963</v>
      </c>
      <c r="AJ17" s="205">
        <f t="shared" si="6"/>
        <v>18678.904463959963</v>
      </c>
      <c r="AK17" s="205">
        <f t="shared" si="6"/>
        <v>18678.904463959963</v>
      </c>
      <c r="AL17" s="205">
        <f t="shared" si="7"/>
        <v>18678.904463959963</v>
      </c>
      <c r="AM17" s="205">
        <f t="shared" si="7"/>
        <v>18678.904463959963</v>
      </c>
      <c r="AN17" s="205">
        <f t="shared" si="7"/>
        <v>18678.904463959963</v>
      </c>
      <c r="AO17" s="205">
        <f t="shared" si="7"/>
        <v>18678.904463959963</v>
      </c>
      <c r="AP17" s="205">
        <f t="shared" si="7"/>
        <v>18678.904463959963</v>
      </c>
      <c r="AQ17" s="205">
        <f t="shared" si="7"/>
        <v>18678.904463959963</v>
      </c>
      <c r="AR17" s="205">
        <f t="shared" si="7"/>
        <v>18678.904463959963</v>
      </c>
      <c r="AS17" s="205">
        <f t="shared" si="7"/>
        <v>18678.904463959963</v>
      </c>
      <c r="AT17" s="205">
        <f t="shared" si="7"/>
        <v>18678.904463959963</v>
      </c>
      <c r="AU17" s="205">
        <f t="shared" si="7"/>
        <v>18678.904463959963</v>
      </c>
      <c r="AV17" s="205">
        <f t="shared" si="7"/>
        <v>18678.904463959963</v>
      </c>
      <c r="AW17" s="205">
        <f t="shared" si="7"/>
        <v>18678.904463959963</v>
      </c>
      <c r="AX17" s="205">
        <f t="shared" si="8"/>
        <v>18678.904463959963</v>
      </c>
      <c r="AY17" s="205">
        <f t="shared" si="8"/>
        <v>18678.904463959963</v>
      </c>
      <c r="AZ17" s="205">
        <f t="shared" si="8"/>
        <v>18678.904463959963</v>
      </c>
      <c r="BA17" s="205">
        <f t="shared" si="8"/>
        <v>18678.904463959963</v>
      </c>
      <c r="BB17" s="205">
        <f t="shared" si="8"/>
        <v>18678.904463959963</v>
      </c>
      <c r="BC17" s="205">
        <f t="shared" si="8"/>
        <v>18678.904463959967</v>
      </c>
      <c r="BD17" s="205">
        <f t="shared" si="8"/>
        <v>18678.904463959967</v>
      </c>
      <c r="BE17" s="205">
        <f t="shared" si="8"/>
        <v>18678.904463959967</v>
      </c>
      <c r="BF17" s="205">
        <f t="shared" si="8"/>
        <v>18678.904463959967</v>
      </c>
      <c r="BG17" s="205">
        <f t="shared" si="8"/>
        <v>18678.904463959967</v>
      </c>
      <c r="BH17" s="205">
        <f t="shared" si="8"/>
        <v>18678.904463959967</v>
      </c>
      <c r="BI17" s="205">
        <f t="shared" si="8"/>
        <v>18678.904463959967</v>
      </c>
      <c r="BJ17" s="205">
        <f t="shared" si="8"/>
        <v>18678.904463959967</v>
      </c>
      <c r="BK17" s="205">
        <f t="shared" si="8"/>
        <v>18678.904463959967</v>
      </c>
      <c r="BL17" s="205">
        <f t="shared" si="8"/>
        <v>18678.904463959967</v>
      </c>
      <c r="BM17" s="205">
        <f t="shared" si="8"/>
        <v>18678.904463959967</v>
      </c>
      <c r="BN17" s="205">
        <f t="shared" si="8"/>
        <v>18678.904463959967</v>
      </c>
      <c r="BO17" s="205">
        <f t="shared" si="8"/>
        <v>18678.904463959967</v>
      </c>
      <c r="BP17" s="205">
        <f t="shared" si="8"/>
        <v>18678.904463959967</v>
      </c>
      <c r="BQ17" s="205">
        <f t="shared" si="8"/>
        <v>18678.904463959967</v>
      </c>
      <c r="BR17" s="205">
        <f t="shared" si="8"/>
        <v>18678.904463959967</v>
      </c>
      <c r="BS17" s="205">
        <f t="shared" si="8"/>
        <v>18678.904463959967</v>
      </c>
      <c r="BT17" s="205">
        <f t="shared" si="8"/>
        <v>18678.904463959967</v>
      </c>
      <c r="BU17" s="205">
        <f t="shared" si="8"/>
        <v>18678.904463959967</v>
      </c>
      <c r="BV17" s="205">
        <f t="shared" si="8"/>
        <v>18678.904463959967</v>
      </c>
      <c r="BW17" s="205">
        <f t="shared" si="8"/>
        <v>18678.904463959967</v>
      </c>
      <c r="BX17" s="205">
        <f t="shared" si="8"/>
        <v>18678.904463959967</v>
      </c>
      <c r="BY17" s="205">
        <f t="shared" si="8"/>
        <v>18678.904463959967</v>
      </c>
      <c r="BZ17" s="205">
        <f t="shared" si="8"/>
        <v>18678.904463959967</v>
      </c>
      <c r="CA17" s="205">
        <f t="shared" si="10"/>
        <v>18678.904463959967</v>
      </c>
      <c r="CB17" s="205">
        <f t="shared" si="10"/>
        <v>18678.904463959967</v>
      </c>
      <c r="CC17" s="205">
        <f t="shared" si="9"/>
        <v>18678.904463959967</v>
      </c>
      <c r="CD17" s="205">
        <f t="shared" si="9"/>
        <v>18678.904463959967</v>
      </c>
      <c r="CE17" s="205">
        <f t="shared" si="9"/>
        <v>18678.904463959967</v>
      </c>
      <c r="CF17" s="205">
        <f t="shared" si="9"/>
        <v>18678.904463959967</v>
      </c>
      <c r="CG17" s="205">
        <f t="shared" si="9"/>
        <v>18678.904463959967</v>
      </c>
      <c r="CH17" s="205">
        <f t="shared" si="9"/>
        <v>18678.904463959967</v>
      </c>
      <c r="CI17" s="205">
        <f t="shared" si="9"/>
        <v>18678.904463959967</v>
      </c>
      <c r="CJ17" s="205">
        <f t="shared" si="9"/>
        <v>18678.904463959967</v>
      </c>
      <c r="CK17" s="205">
        <f t="shared" si="9"/>
        <v>18678.904463959967</v>
      </c>
      <c r="CL17" s="205">
        <f t="shared" si="9"/>
        <v>18678.904463959967</v>
      </c>
      <c r="CM17" s="205">
        <f t="shared" si="9"/>
        <v>18678.904463959967</v>
      </c>
      <c r="CN17" s="205">
        <f t="shared" si="9"/>
        <v>18678.904463959967</v>
      </c>
      <c r="CO17" s="205">
        <f t="shared" si="9"/>
        <v>18678.904463959967</v>
      </c>
      <c r="CP17" s="205">
        <f t="shared" si="9"/>
        <v>18678.904463959967</v>
      </c>
      <c r="CQ17" s="205">
        <f t="shared" si="9"/>
        <v>18678.904463959967</v>
      </c>
      <c r="CR17" s="205">
        <f t="shared" si="9"/>
        <v>18678.904463959967</v>
      </c>
      <c r="CS17" s="205">
        <f t="shared" si="11"/>
        <v>18678.904463959967</v>
      </c>
      <c r="CT17" s="205">
        <f t="shared" si="11"/>
        <v>18678.904463959967</v>
      </c>
      <c r="CU17" s="205">
        <f t="shared" si="11"/>
        <v>18678.904463959967</v>
      </c>
      <c r="CV17" s="205">
        <f t="shared" si="11"/>
        <v>18678.904463959967</v>
      </c>
      <c r="CW17" s="205">
        <f t="shared" si="11"/>
        <v>18678.904463959967</v>
      </c>
      <c r="CX17" s="205">
        <f t="shared" si="11"/>
        <v>18678.904463959967</v>
      </c>
      <c r="CY17" s="205">
        <f t="shared" si="11"/>
        <v>18678.904463959967</v>
      </c>
      <c r="CZ17" s="205">
        <f t="shared" si="11"/>
        <v>18678.904463959967</v>
      </c>
      <c r="DA17" s="205">
        <f t="shared" si="11"/>
        <v>18678.904463959967</v>
      </c>
    </row>
    <row r="18" spans="1:105">
      <c r="A18" s="202" t="s">
        <v>87</v>
      </c>
      <c r="B18" s="204">
        <f>Income!B90</f>
        <v>31956.58733381049</v>
      </c>
      <c r="C18" s="204">
        <f>Income!C90</f>
        <v>31956.58733381049</v>
      </c>
      <c r="D18" s="204">
        <f>Income!D90</f>
        <v>31956.58733381049</v>
      </c>
      <c r="E18" s="204">
        <f>Income!E90</f>
        <v>31956.587333810494</v>
      </c>
      <c r="F18" s="205">
        <f t="shared" ref="F18:U18" si="12">IF(F$2&lt;=($B$2+$C$2+$D$2),IF(F$2&lt;=($B$2+$C$2),IF(F$2&lt;=$B$2,$B18,$C18),$D18),$E18)</f>
        <v>31956.58733381049</v>
      </c>
      <c r="G18" s="205">
        <f t="shared" si="12"/>
        <v>31956.58733381049</v>
      </c>
      <c r="H18" s="205">
        <f t="shared" si="12"/>
        <v>31956.58733381049</v>
      </c>
      <c r="I18" s="205">
        <f t="shared" si="12"/>
        <v>31956.58733381049</v>
      </c>
      <c r="J18" s="205">
        <f t="shared" si="12"/>
        <v>31956.58733381049</v>
      </c>
      <c r="K18" s="205">
        <f t="shared" si="12"/>
        <v>31956.58733381049</v>
      </c>
      <c r="L18" s="205">
        <f t="shared" si="12"/>
        <v>31956.58733381049</v>
      </c>
      <c r="M18" s="205">
        <f t="shared" si="12"/>
        <v>31956.58733381049</v>
      </c>
      <c r="N18" s="205">
        <f t="shared" si="12"/>
        <v>31956.58733381049</v>
      </c>
      <c r="O18" s="205">
        <f t="shared" si="12"/>
        <v>31956.58733381049</v>
      </c>
      <c r="P18" s="205">
        <f t="shared" si="12"/>
        <v>31956.58733381049</v>
      </c>
      <c r="Q18" s="205">
        <f t="shared" si="12"/>
        <v>31956.58733381049</v>
      </c>
      <c r="R18" s="205">
        <f t="shared" si="12"/>
        <v>31956.58733381049</v>
      </c>
      <c r="S18" s="205">
        <f t="shared" si="12"/>
        <v>31956.58733381049</v>
      </c>
      <c r="T18" s="205">
        <f t="shared" si="12"/>
        <v>31956.58733381049</v>
      </c>
      <c r="U18" s="205">
        <f t="shared" si="12"/>
        <v>31956.58733381049</v>
      </c>
      <c r="V18" s="205">
        <f t="shared" si="6"/>
        <v>31956.58733381049</v>
      </c>
      <c r="W18" s="205">
        <f t="shared" si="6"/>
        <v>31956.58733381049</v>
      </c>
      <c r="X18" s="205">
        <f t="shared" si="6"/>
        <v>31956.58733381049</v>
      </c>
      <c r="Y18" s="205">
        <f t="shared" si="6"/>
        <v>31956.58733381049</v>
      </c>
      <c r="Z18" s="205">
        <f t="shared" si="6"/>
        <v>31956.58733381049</v>
      </c>
      <c r="AA18" s="205">
        <f t="shared" si="6"/>
        <v>31956.58733381049</v>
      </c>
      <c r="AB18" s="205">
        <f t="shared" si="6"/>
        <v>31956.58733381049</v>
      </c>
      <c r="AC18" s="205">
        <f t="shared" si="6"/>
        <v>31956.58733381049</v>
      </c>
      <c r="AD18" s="205">
        <f t="shared" si="6"/>
        <v>31956.58733381049</v>
      </c>
      <c r="AE18" s="205">
        <f t="shared" si="6"/>
        <v>31956.58733381049</v>
      </c>
      <c r="AF18" s="205">
        <f t="shared" si="6"/>
        <v>31956.58733381049</v>
      </c>
      <c r="AG18" s="205">
        <f t="shared" si="6"/>
        <v>31956.58733381049</v>
      </c>
      <c r="AH18" s="205">
        <f t="shared" si="6"/>
        <v>31956.58733381049</v>
      </c>
      <c r="AI18" s="205">
        <f t="shared" si="6"/>
        <v>31956.58733381049</v>
      </c>
      <c r="AJ18" s="205">
        <f t="shared" si="6"/>
        <v>31956.58733381049</v>
      </c>
      <c r="AK18" s="205">
        <f t="shared" si="6"/>
        <v>31956.58733381049</v>
      </c>
      <c r="AL18" s="205">
        <f t="shared" si="7"/>
        <v>31956.58733381049</v>
      </c>
      <c r="AM18" s="205">
        <f t="shared" si="7"/>
        <v>31956.58733381049</v>
      </c>
      <c r="AN18" s="205">
        <f t="shared" si="7"/>
        <v>31956.58733381049</v>
      </c>
      <c r="AO18" s="205">
        <f t="shared" si="7"/>
        <v>31956.58733381049</v>
      </c>
      <c r="AP18" s="205">
        <f t="shared" si="7"/>
        <v>31956.58733381049</v>
      </c>
      <c r="AQ18" s="205">
        <f t="shared" si="7"/>
        <v>31956.58733381049</v>
      </c>
      <c r="AR18" s="205">
        <f t="shared" si="7"/>
        <v>31956.58733381049</v>
      </c>
      <c r="AS18" s="205">
        <f t="shared" si="7"/>
        <v>31956.58733381049</v>
      </c>
      <c r="AT18" s="205">
        <f t="shared" si="7"/>
        <v>31956.58733381049</v>
      </c>
      <c r="AU18" s="205">
        <f t="shared" si="7"/>
        <v>31956.58733381049</v>
      </c>
      <c r="AV18" s="205">
        <f t="shared" si="7"/>
        <v>31956.58733381049</v>
      </c>
      <c r="AW18" s="205">
        <f t="shared" si="7"/>
        <v>31956.58733381049</v>
      </c>
      <c r="AX18" s="205">
        <f t="shared" si="8"/>
        <v>31956.58733381049</v>
      </c>
      <c r="AY18" s="205">
        <f t="shared" si="8"/>
        <v>31956.58733381049</v>
      </c>
      <c r="AZ18" s="205">
        <f t="shared" si="8"/>
        <v>31956.58733381049</v>
      </c>
      <c r="BA18" s="205">
        <f t="shared" si="8"/>
        <v>31956.58733381049</v>
      </c>
      <c r="BB18" s="205">
        <f t="shared" si="8"/>
        <v>31956.58733381049</v>
      </c>
      <c r="BC18" s="205">
        <f t="shared" si="8"/>
        <v>31956.587333810494</v>
      </c>
      <c r="BD18" s="205">
        <f t="shared" si="8"/>
        <v>31956.587333810494</v>
      </c>
      <c r="BE18" s="205">
        <f t="shared" si="8"/>
        <v>31956.587333810494</v>
      </c>
      <c r="BF18" s="205">
        <f t="shared" si="8"/>
        <v>31956.587333810494</v>
      </c>
      <c r="BG18" s="205">
        <f t="shared" si="8"/>
        <v>31956.587333810494</v>
      </c>
      <c r="BH18" s="205">
        <f t="shared" si="8"/>
        <v>31956.587333810494</v>
      </c>
      <c r="BI18" s="205">
        <f t="shared" si="8"/>
        <v>31956.587333810494</v>
      </c>
      <c r="BJ18" s="205">
        <f t="shared" si="8"/>
        <v>31956.587333810494</v>
      </c>
      <c r="BK18" s="205">
        <f t="shared" si="8"/>
        <v>31956.587333810494</v>
      </c>
      <c r="BL18" s="205">
        <f t="shared" ref="BL18:BZ18" si="13">IF(BL$2&lt;=($B$2+$C$2+$D$2),IF(BL$2&lt;=($B$2+$C$2),IF(BL$2&lt;=$B$2,$B18,$C18),$D18),$E18)</f>
        <v>31956.587333810494</v>
      </c>
      <c r="BM18" s="205">
        <f t="shared" si="13"/>
        <v>31956.587333810494</v>
      </c>
      <c r="BN18" s="205">
        <f t="shared" si="13"/>
        <v>31956.587333810494</v>
      </c>
      <c r="BO18" s="205">
        <f t="shared" si="13"/>
        <v>31956.587333810494</v>
      </c>
      <c r="BP18" s="205">
        <f t="shared" si="13"/>
        <v>31956.587333810494</v>
      </c>
      <c r="BQ18" s="205">
        <f t="shared" si="13"/>
        <v>31956.587333810494</v>
      </c>
      <c r="BR18" s="205">
        <f t="shared" si="13"/>
        <v>31956.587333810494</v>
      </c>
      <c r="BS18" s="205">
        <f t="shared" si="13"/>
        <v>31956.587333810494</v>
      </c>
      <c r="BT18" s="205">
        <f t="shared" si="13"/>
        <v>31956.587333810494</v>
      </c>
      <c r="BU18" s="205">
        <f t="shared" si="13"/>
        <v>31956.587333810494</v>
      </c>
      <c r="BV18" s="205">
        <f t="shared" si="13"/>
        <v>31956.587333810494</v>
      </c>
      <c r="BW18" s="205">
        <f t="shared" si="13"/>
        <v>31956.587333810494</v>
      </c>
      <c r="BX18" s="205">
        <f t="shared" si="13"/>
        <v>31956.587333810494</v>
      </c>
      <c r="BY18" s="205">
        <f t="shared" si="13"/>
        <v>31956.587333810494</v>
      </c>
      <c r="BZ18" s="205">
        <f t="shared" si="13"/>
        <v>31956.587333810494</v>
      </c>
      <c r="CA18" s="205">
        <f t="shared" si="10"/>
        <v>31956.587333810494</v>
      </c>
      <c r="CB18" s="205">
        <f t="shared" si="10"/>
        <v>31956.587333810494</v>
      </c>
      <c r="CC18" s="205">
        <f t="shared" si="9"/>
        <v>31956.587333810494</v>
      </c>
      <c r="CD18" s="205">
        <f t="shared" si="9"/>
        <v>31956.587333810494</v>
      </c>
      <c r="CE18" s="205">
        <f t="shared" si="9"/>
        <v>31956.587333810494</v>
      </c>
      <c r="CF18" s="205">
        <f t="shared" si="9"/>
        <v>31956.587333810494</v>
      </c>
      <c r="CG18" s="205">
        <f t="shared" si="9"/>
        <v>31956.587333810494</v>
      </c>
      <c r="CH18" s="205">
        <f t="shared" si="9"/>
        <v>31956.587333810494</v>
      </c>
      <c r="CI18" s="205">
        <f t="shared" si="9"/>
        <v>31956.587333810494</v>
      </c>
      <c r="CJ18" s="205">
        <f t="shared" si="9"/>
        <v>31956.587333810494</v>
      </c>
      <c r="CK18" s="205">
        <f t="shared" si="9"/>
        <v>31956.587333810494</v>
      </c>
      <c r="CL18" s="205">
        <f t="shared" si="9"/>
        <v>31956.587333810494</v>
      </c>
      <c r="CM18" s="205">
        <f t="shared" si="9"/>
        <v>31956.587333810494</v>
      </c>
      <c r="CN18" s="205">
        <f t="shared" si="9"/>
        <v>31956.587333810494</v>
      </c>
      <c r="CO18" s="205">
        <f t="shared" si="9"/>
        <v>31956.587333810494</v>
      </c>
      <c r="CP18" s="205">
        <f t="shared" si="9"/>
        <v>31956.587333810494</v>
      </c>
      <c r="CQ18" s="205">
        <f t="shared" si="9"/>
        <v>31956.587333810494</v>
      </c>
      <c r="CR18" s="205">
        <f t="shared" si="9"/>
        <v>31956.587333810494</v>
      </c>
      <c r="CS18" s="205">
        <f t="shared" si="11"/>
        <v>31956.587333810494</v>
      </c>
      <c r="CT18" s="205">
        <f t="shared" si="11"/>
        <v>31956.587333810494</v>
      </c>
      <c r="CU18" s="205">
        <f t="shared" si="11"/>
        <v>31956.587333810494</v>
      </c>
      <c r="CV18" s="205">
        <f t="shared" si="11"/>
        <v>31956.587333810494</v>
      </c>
      <c r="CW18" s="205">
        <f t="shared" si="11"/>
        <v>31956.587333810494</v>
      </c>
      <c r="CX18" s="205">
        <f t="shared" si="11"/>
        <v>31956.587333810494</v>
      </c>
      <c r="CY18" s="205">
        <f t="shared" si="11"/>
        <v>31956.587333810494</v>
      </c>
      <c r="CZ18" s="205">
        <f t="shared" si="11"/>
        <v>31956.587333810494</v>
      </c>
      <c r="DA18" s="205">
        <f t="shared" si="11"/>
        <v>31956.587333810494</v>
      </c>
    </row>
    <row r="19" spans="1:105">
      <c r="A19" s="202" t="s">
        <v>118</v>
      </c>
      <c r="F19" s="202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2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2" t="str">
        <f t="shared" si="14"/>
        <v/>
      </c>
      <c r="I19" s="202" t="str">
        <f t="shared" si="14"/>
        <v/>
      </c>
      <c r="J19" s="202" t="str">
        <f t="shared" si="14"/>
        <v/>
      </c>
      <c r="K19" s="202" t="str">
        <f t="shared" si="14"/>
        <v/>
      </c>
      <c r="L19" s="202" t="str">
        <f t="shared" si="14"/>
        <v/>
      </c>
      <c r="M19" s="202" t="str">
        <f t="shared" si="14"/>
        <v/>
      </c>
      <c r="N19" s="202" t="str">
        <f t="shared" si="14"/>
        <v/>
      </c>
      <c r="O19" s="202" t="str">
        <f t="shared" si="14"/>
        <v/>
      </c>
      <c r="P19" s="202" t="str">
        <f t="shared" si="14"/>
        <v/>
      </c>
      <c r="Q19" s="202" t="str">
        <f t="shared" si="14"/>
        <v/>
      </c>
      <c r="R19" s="202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2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2" t="str">
        <f t="shared" si="14"/>
        <v/>
      </c>
      <c r="U19" s="202" t="str">
        <f t="shared" si="14"/>
        <v/>
      </c>
      <c r="V19" s="202" t="str">
        <f t="shared" si="14"/>
        <v/>
      </c>
      <c r="W19" s="202" t="str">
        <f t="shared" si="14"/>
        <v/>
      </c>
      <c r="X19" s="202" t="str">
        <f t="shared" si="14"/>
        <v/>
      </c>
      <c r="Y19" s="202" t="str">
        <f t="shared" si="14"/>
        <v/>
      </c>
      <c r="Z19" s="202" t="str">
        <f t="shared" si="14"/>
        <v/>
      </c>
      <c r="AA19" s="202" t="str">
        <f t="shared" si="14"/>
        <v/>
      </c>
      <c r="AB19" s="202" t="str">
        <f t="shared" si="14"/>
        <v/>
      </c>
      <c r="AC19" s="202" t="str">
        <f t="shared" si="14"/>
        <v/>
      </c>
      <c r="AD19" s="202" t="str">
        <f t="shared" si="14"/>
        <v/>
      </c>
      <c r="AE19" s="202">
        <f t="shared" si="14"/>
        <v>40180.135755478637</v>
      </c>
      <c r="AF19" s="202">
        <f t="shared" si="14"/>
        <v>40710.221058509043</v>
      </c>
      <c r="AG19" s="202">
        <f t="shared" si="14"/>
        <v>41240.306361539449</v>
      </c>
      <c r="AH19" s="202">
        <f t="shared" si="14"/>
        <v>41770.391664569855</v>
      </c>
      <c r="AI19" s="202">
        <f t="shared" si="14"/>
        <v>42300.476967600262</v>
      </c>
      <c r="AJ19" s="202">
        <f t="shared" si="14"/>
        <v>42830.562270630668</v>
      </c>
      <c r="AK19" s="202">
        <f t="shared" si="14"/>
        <v>43360.647573661074</v>
      </c>
      <c r="AL19" s="202">
        <f t="shared" si="14"/>
        <v>43890.73287669148</v>
      </c>
      <c r="AM19" s="202">
        <f t="shared" si="14"/>
        <v>44420.818179721886</v>
      </c>
      <c r="AN19" s="202">
        <f t="shared" si="14"/>
        <v>44950.903482752292</v>
      </c>
      <c r="AO19" s="202">
        <f t="shared" si="14"/>
        <v>45480.988785782698</v>
      </c>
      <c r="AP19" s="202">
        <f t="shared" si="14"/>
        <v>46011.074088813104</v>
      </c>
      <c r="AQ19" s="202">
        <f t="shared" si="14"/>
        <v>46541.15939184351</v>
      </c>
      <c r="AR19" s="202">
        <f t="shared" si="14"/>
        <v>47071.244694873916</v>
      </c>
      <c r="AS19" s="202">
        <f t="shared" si="14"/>
        <v>47601.329997904322</v>
      </c>
      <c r="AT19" s="202">
        <f t="shared" si="14"/>
        <v>48131.415300934728</v>
      </c>
      <c r="AU19" s="202">
        <f t="shared" si="14"/>
        <v>48661.500603965134</v>
      </c>
      <c r="AV19" s="202">
        <f t="shared" si="14"/>
        <v>49191.58590699554</v>
      </c>
      <c r="AW19" s="202">
        <f t="shared" si="14"/>
        <v>49721.671210025946</v>
      </c>
      <c r="AX19" s="202">
        <f t="shared" si="14"/>
        <v>50251.756513056353</v>
      </c>
      <c r="AY19" s="202">
        <f t="shared" si="14"/>
        <v>50781.841816086759</v>
      </c>
      <c r="AZ19" s="202">
        <f t="shared" si="14"/>
        <v>51311.927119117165</v>
      </c>
      <c r="BA19" s="202">
        <f t="shared" si="14"/>
        <v>51842.012422147571</v>
      </c>
      <c r="BB19" s="202">
        <f t="shared" si="14"/>
        <v>52372.097725177977</v>
      </c>
      <c r="BC19" s="202" t="str">
        <f t="shared" si="14"/>
        <v/>
      </c>
      <c r="BD19" s="202" t="str">
        <f t="shared" si="14"/>
        <v/>
      </c>
      <c r="BE19" s="202" t="str">
        <f t="shared" si="14"/>
        <v/>
      </c>
      <c r="BF19" s="202" t="str">
        <f t="shared" si="14"/>
        <v/>
      </c>
      <c r="BG19" s="202" t="str">
        <f t="shared" si="14"/>
        <v/>
      </c>
      <c r="BH19" s="202" t="str">
        <f t="shared" si="14"/>
        <v/>
      </c>
      <c r="BI19" s="202" t="str">
        <f t="shared" si="14"/>
        <v/>
      </c>
      <c r="BJ19" s="202" t="str">
        <f t="shared" si="14"/>
        <v/>
      </c>
      <c r="BK19" s="202" t="str">
        <f t="shared" si="14"/>
        <v/>
      </c>
      <c r="BL19" s="202" t="str">
        <f t="shared" si="14"/>
        <v/>
      </c>
      <c r="BM19" s="202" t="str">
        <f t="shared" si="14"/>
        <v/>
      </c>
      <c r="BN19" s="202" t="str">
        <f t="shared" si="14"/>
        <v/>
      </c>
      <c r="BO19" s="202" t="str">
        <f t="shared" si="14"/>
        <v/>
      </c>
      <c r="BP19" s="202" t="str">
        <f t="shared" si="14"/>
        <v/>
      </c>
      <c r="BQ19" s="202" t="str">
        <f t="shared" si="14"/>
        <v/>
      </c>
      <c r="BR19" s="202" t="str">
        <f t="shared" si="14"/>
        <v/>
      </c>
      <c r="BS19" s="202" t="str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/>
      </c>
      <c r="BT19" s="202" t="str">
        <f t="shared" si="15"/>
        <v/>
      </c>
      <c r="BU19" s="202" t="str">
        <f t="shared" si="15"/>
        <v/>
      </c>
      <c r="BV19" s="202" t="str">
        <f t="shared" si="15"/>
        <v/>
      </c>
      <c r="BW19" s="202" t="str">
        <f t="shared" si="15"/>
        <v/>
      </c>
      <c r="BX19" s="202" t="str">
        <f t="shared" si="15"/>
        <v/>
      </c>
      <c r="BY19" s="202" t="str">
        <f t="shared" si="15"/>
        <v/>
      </c>
      <c r="BZ19" s="202" t="str">
        <f t="shared" si="15"/>
        <v/>
      </c>
      <c r="CA19" s="202" t="str">
        <f t="shared" si="15"/>
        <v/>
      </c>
      <c r="CB19" s="202" t="str">
        <f t="shared" si="15"/>
        <v/>
      </c>
      <c r="CC19" s="202" t="str">
        <f t="shared" si="15"/>
        <v/>
      </c>
      <c r="CD19" s="202" t="str">
        <f t="shared" si="15"/>
        <v/>
      </c>
      <c r="CE19" s="202" t="str">
        <f t="shared" si="15"/>
        <v/>
      </c>
      <c r="CF19" s="202" t="str">
        <f t="shared" si="15"/>
        <v/>
      </c>
      <c r="CG19" s="202" t="str">
        <f t="shared" si="15"/>
        <v/>
      </c>
      <c r="CH19" s="202" t="str">
        <f t="shared" si="15"/>
        <v/>
      </c>
      <c r="CI19" s="202" t="str">
        <f t="shared" si="15"/>
        <v/>
      </c>
      <c r="CJ19" s="202" t="str">
        <f t="shared" si="15"/>
        <v/>
      </c>
      <c r="CK19" s="202" t="str">
        <f t="shared" si="15"/>
        <v/>
      </c>
      <c r="CL19" s="202" t="str">
        <f t="shared" si="15"/>
        <v/>
      </c>
      <c r="CM19" s="202" t="str">
        <f t="shared" si="15"/>
        <v/>
      </c>
      <c r="CN19" s="202" t="str">
        <f t="shared" si="15"/>
        <v/>
      </c>
      <c r="CO19" s="202" t="str">
        <f t="shared" si="15"/>
        <v/>
      </c>
      <c r="CP19" s="202" t="str">
        <f t="shared" si="15"/>
        <v/>
      </c>
      <c r="CQ19" s="202" t="str">
        <f t="shared" si="15"/>
        <v/>
      </c>
      <c r="CR19" s="202" t="str">
        <f t="shared" si="15"/>
        <v/>
      </c>
      <c r="CS19" s="202" t="str">
        <f t="shared" si="15"/>
        <v/>
      </c>
      <c r="CT19" s="202" t="str">
        <f t="shared" si="15"/>
        <v/>
      </c>
      <c r="CU19" s="202" t="str">
        <f t="shared" si="15"/>
        <v/>
      </c>
      <c r="CV19" s="202" t="str">
        <f t="shared" si="15"/>
        <v/>
      </c>
      <c r="CW19" s="202" t="str">
        <f t="shared" si="15"/>
        <v/>
      </c>
      <c r="CX19" s="202" t="str">
        <f t="shared" si="15"/>
        <v/>
      </c>
      <c r="CY19" s="202" t="str">
        <f t="shared" si="15"/>
        <v/>
      </c>
      <c r="CZ19" s="202" t="str">
        <f t="shared" si="15"/>
        <v/>
      </c>
      <c r="DA19" s="202" t="str">
        <f t="shared" si="15"/>
        <v/>
      </c>
    </row>
    <row r="21" spans="1:105">
      <c r="B21" s="202" t="s">
        <v>99</v>
      </c>
      <c r="C21" s="202" t="s">
        <v>98</v>
      </c>
      <c r="D21" s="202" t="s">
        <v>100</v>
      </c>
      <c r="E21" s="202" t="s">
        <v>101</v>
      </c>
    </row>
    <row r="22" spans="1:105">
      <c r="B22" s="206">
        <f>B2*100</f>
        <v>49</v>
      </c>
      <c r="C22" s="206">
        <f>C2*100</f>
        <v>0</v>
      </c>
      <c r="D22" s="206">
        <f>D2*100</f>
        <v>0</v>
      </c>
      <c r="E22" s="206">
        <f>E2*100</f>
        <v>0</v>
      </c>
      <c r="F22" s="206">
        <v>0</v>
      </c>
      <c r="G22" s="206">
        <v>1</v>
      </c>
      <c r="H22" s="206">
        <v>2</v>
      </c>
      <c r="I22" s="206">
        <v>3</v>
      </c>
      <c r="J22" s="206">
        <v>4</v>
      </c>
      <c r="K22" s="206">
        <v>5</v>
      </c>
      <c r="L22" s="206">
        <v>6</v>
      </c>
      <c r="M22" s="206">
        <v>7</v>
      </c>
      <c r="N22" s="206">
        <v>8</v>
      </c>
      <c r="O22" s="206">
        <v>9</v>
      </c>
      <c r="P22" s="206">
        <v>10</v>
      </c>
      <c r="Q22" s="206">
        <v>11</v>
      </c>
      <c r="R22" s="206">
        <v>12</v>
      </c>
      <c r="S22" s="206">
        <v>13</v>
      </c>
      <c r="T22" s="206">
        <v>14</v>
      </c>
      <c r="U22" s="206">
        <v>15</v>
      </c>
      <c r="V22" s="206">
        <v>16</v>
      </c>
      <c r="W22" s="206">
        <v>17</v>
      </c>
      <c r="X22" s="206">
        <v>18</v>
      </c>
      <c r="Y22" s="206">
        <v>19</v>
      </c>
      <c r="Z22" s="206">
        <v>20</v>
      </c>
      <c r="AA22" s="206">
        <v>21</v>
      </c>
      <c r="AB22" s="206">
        <v>22</v>
      </c>
      <c r="AC22" s="206">
        <v>23</v>
      </c>
      <c r="AD22" s="206">
        <v>24</v>
      </c>
      <c r="AE22" s="206">
        <v>25</v>
      </c>
      <c r="AF22" s="206">
        <v>26</v>
      </c>
      <c r="AG22" s="206">
        <v>27</v>
      </c>
      <c r="AH22" s="206">
        <v>28</v>
      </c>
      <c r="AI22" s="206">
        <v>29</v>
      </c>
      <c r="AJ22" s="206">
        <v>30</v>
      </c>
      <c r="AK22" s="206">
        <v>31</v>
      </c>
      <c r="AL22" s="206">
        <v>32</v>
      </c>
      <c r="AM22" s="206">
        <v>33</v>
      </c>
      <c r="AN22" s="206">
        <v>34</v>
      </c>
      <c r="AO22" s="206">
        <v>35</v>
      </c>
      <c r="AP22" s="206">
        <v>36</v>
      </c>
      <c r="AQ22" s="206">
        <v>37</v>
      </c>
      <c r="AR22" s="206">
        <v>38</v>
      </c>
      <c r="AS22" s="206">
        <v>39</v>
      </c>
      <c r="AT22" s="206">
        <v>40</v>
      </c>
      <c r="AU22" s="206">
        <v>41</v>
      </c>
      <c r="AV22" s="206">
        <v>42</v>
      </c>
      <c r="AW22" s="206">
        <v>43</v>
      </c>
      <c r="AX22" s="206">
        <v>44</v>
      </c>
      <c r="AY22" s="206">
        <v>45</v>
      </c>
      <c r="AZ22" s="206">
        <v>46</v>
      </c>
      <c r="BA22" s="206">
        <v>47</v>
      </c>
      <c r="BB22" s="206">
        <v>48</v>
      </c>
      <c r="BC22" s="206">
        <v>49</v>
      </c>
      <c r="BD22" s="206">
        <v>50</v>
      </c>
      <c r="BE22" s="206">
        <v>51</v>
      </c>
      <c r="BF22" s="206">
        <v>52</v>
      </c>
      <c r="BG22" s="206">
        <v>53</v>
      </c>
      <c r="BH22" s="206">
        <v>54</v>
      </c>
      <c r="BI22" s="206">
        <v>55</v>
      </c>
      <c r="BJ22" s="206">
        <v>56</v>
      </c>
      <c r="BK22" s="206">
        <v>57</v>
      </c>
      <c r="BL22" s="206">
        <v>58</v>
      </c>
      <c r="BM22" s="206">
        <v>59</v>
      </c>
      <c r="BN22" s="206">
        <v>60</v>
      </c>
      <c r="BO22" s="206">
        <v>61</v>
      </c>
      <c r="BP22" s="206">
        <v>62</v>
      </c>
      <c r="BQ22" s="206">
        <v>63</v>
      </c>
      <c r="BR22" s="206">
        <v>64</v>
      </c>
      <c r="BS22" s="206">
        <v>65</v>
      </c>
      <c r="BT22" s="206">
        <v>66</v>
      </c>
      <c r="BU22" s="206">
        <v>67</v>
      </c>
      <c r="BV22" s="206">
        <v>68</v>
      </c>
      <c r="BW22" s="206">
        <v>69</v>
      </c>
      <c r="BX22" s="206">
        <v>70</v>
      </c>
      <c r="BY22" s="206">
        <v>71</v>
      </c>
      <c r="BZ22" s="206">
        <v>72</v>
      </c>
      <c r="CA22" s="206">
        <v>73</v>
      </c>
      <c r="CB22" s="206">
        <v>74</v>
      </c>
      <c r="CC22" s="206">
        <v>75</v>
      </c>
      <c r="CD22" s="206">
        <v>76</v>
      </c>
      <c r="CE22" s="206">
        <v>77</v>
      </c>
      <c r="CF22" s="206">
        <v>78</v>
      </c>
      <c r="CG22" s="206">
        <v>79</v>
      </c>
      <c r="CH22" s="206">
        <v>80</v>
      </c>
      <c r="CI22" s="206">
        <v>81</v>
      </c>
      <c r="CJ22" s="206">
        <v>82</v>
      </c>
      <c r="CK22" s="206">
        <v>83</v>
      </c>
      <c r="CL22" s="206">
        <v>84</v>
      </c>
      <c r="CM22" s="206">
        <v>85</v>
      </c>
      <c r="CN22" s="206">
        <v>86</v>
      </c>
      <c r="CO22" s="206">
        <v>87</v>
      </c>
      <c r="CP22" s="206">
        <v>88</v>
      </c>
      <c r="CQ22" s="206">
        <v>89</v>
      </c>
      <c r="CR22" s="206">
        <v>90</v>
      </c>
      <c r="CS22" s="206">
        <v>91</v>
      </c>
      <c r="CT22" s="206">
        <v>92</v>
      </c>
      <c r="CU22" s="206">
        <v>93</v>
      </c>
      <c r="CV22" s="206">
        <v>94</v>
      </c>
      <c r="CW22" s="206">
        <v>95</v>
      </c>
      <c r="CX22" s="206">
        <v>96</v>
      </c>
      <c r="CY22" s="206">
        <v>97</v>
      </c>
      <c r="CZ22" s="206">
        <v>98</v>
      </c>
      <c r="DA22" s="206">
        <v>99</v>
      </c>
    </row>
    <row r="23" spans="1:105">
      <c r="B23" s="207">
        <f>SUM($B22:B22)</f>
        <v>49</v>
      </c>
      <c r="C23" s="207">
        <f>SUM($B22:C22)</f>
        <v>49</v>
      </c>
      <c r="D23" s="207">
        <f>SUM($B22:D22)</f>
        <v>49</v>
      </c>
      <c r="E23" s="207">
        <f>SUM($B22:E22)</f>
        <v>49</v>
      </c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8"/>
      <c r="AR23" s="208"/>
      <c r="AS23" s="208"/>
      <c r="AT23" s="208"/>
      <c r="AU23" s="208"/>
      <c r="AV23" s="208"/>
      <c r="AW23" s="208"/>
      <c r="AX23" s="208"/>
      <c r="AY23" s="208"/>
      <c r="AZ23" s="208"/>
      <c r="BA23" s="208"/>
      <c r="BB23" s="208"/>
      <c r="BC23" s="208"/>
      <c r="BD23" s="208"/>
      <c r="BE23" s="208"/>
      <c r="BF23" s="208"/>
      <c r="BG23" s="208"/>
      <c r="BH23" s="208"/>
      <c r="BI23" s="208"/>
      <c r="BJ23" s="208"/>
      <c r="BK23" s="208"/>
      <c r="BL23" s="208"/>
      <c r="BM23" s="208"/>
      <c r="BN23" s="208"/>
      <c r="BO23" s="208"/>
      <c r="BP23" s="208"/>
      <c r="BQ23" s="208"/>
      <c r="BR23" s="208"/>
      <c r="BS23" s="208"/>
      <c r="BT23" s="208"/>
      <c r="BU23" s="208"/>
      <c r="BV23" s="208"/>
      <c r="BW23" s="208"/>
      <c r="BX23" s="208"/>
      <c r="BY23" s="208"/>
      <c r="BZ23" s="208"/>
      <c r="CA23" s="208"/>
      <c r="CB23" s="208"/>
      <c r="CC23" s="208"/>
      <c r="CD23" s="208"/>
      <c r="CE23" s="208"/>
      <c r="CF23" s="208"/>
      <c r="CG23" s="208"/>
      <c r="CH23" s="208"/>
      <c r="CI23" s="208"/>
      <c r="CJ23" s="208"/>
      <c r="CK23" s="208"/>
      <c r="CL23" s="208"/>
      <c r="CM23" s="208"/>
      <c r="CN23" s="208"/>
      <c r="CO23" s="208"/>
      <c r="CP23" s="208"/>
      <c r="CQ23" s="208"/>
      <c r="CR23" s="208"/>
      <c r="CS23" s="208"/>
      <c r="CT23" s="208"/>
      <c r="CU23" s="208"/>
      <c r="CV23" s="208"/>
      <c r="CW23" s="208"/>
      <c r="CX23" s="208"/>
      <c r="CY23" s="208"/>
      <c r="CZ23" s="208"/>
      <c r="DA23" s="208"/>
    </row>
    <row r="24" spans="1:105">
      <c r="B24" s="209">
        <f>A23+(B23-A23)/2</f>
        <v>24.5</v>
      </c>
      <c r="C24" s="209">
        <f>B23+(C23-B23)/2</f>
        <v>49</v>
      </c>
      <c r="D24" s="209">
        <f>C23+(D23-C23)/2</f>
        <v>49</v>
      </c>
      <c r="E24" s="209">
        <f>D23+(E23-D23)/2</f>
        <v>49</v>
      </c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210"/>
      <c r="BQ24" s="210"/>
      <c r="BR24" s="210"/>
      <c r="BS24" s="210"/>
      <c r="BT24" s="210"/>
      <c r="BU24" s="210"/>
      <c r="BV24" s="210"/>
      <c r="BW24" s="210"/>
      <c r="BX24" s="210"/>
      <c r="BY24" s="210"/>
      <c r="BZ24" s="210"/>
      <c r="CA24" s="210"/>
      <c r="CB24" s="210"/>
      <c r="CC24" s="210"/>
      <c r="CD24" s="210"/>
      <c r="CE24" s="210"/>
      <c r="CF24" s="210"/>
      <c r="CG24" s="210"/>
      <c r="CH24" s="210"/>
      <c r="CI24" s="210"/>
      <c r="CJ24" s="210"/>
      <c r="CK24" s="210"/>
      <c r="CL24" s="210"/>
      <c r="CM24" s="210"/>
      <c r="CN24" s="210"/>
      <c r="CO24" s="210"/>
      <c r="CP24" s="210"/>
      <c r="CQ24" s="210"/>
      <c r="CR24" s="210"/>
      <c r="CS24" s="210"/>
      <c r="CT24" s="210"/>
      <c r="CU24" s="210"/>
      <c r="CV24" s="210"/>
      <c r="CW24" s="210"/>
      <c r="CX24" s="210"/>
      <c r="CY24" s="210"/>
      <c r="CZ24" s="210"/>
      <c r="DA24" s="210"/>
    </row>
    <row r="25" spans="1:105">
      <c r="A25" s="202" t="str">
        <f>Income!A72</f>
        <v>Own crops Consumed</v>
      </c>
      <c r="B25" s="204">
        <f>Income!B72</f>
        <v>1487.0145045438785</v>
      </c>
      <c r="C25" s="204">
        <f>Income!C72</f>
        <v>2307.2153332731605</v>
      </c>
      <c r="D25" s="204">
        <f>Income!D72</f>
        <v>2260.6404196139724</v>
      </c>
      <c r="E25" s="204">
        <f>Income!E72</f>
        <v>3458.8488009197026</v>
      </c>
      <c r="F25" s="211">
        <f>IF(F$22&lt;=$E$24,IF(F$22&lt;=$D$24,IF(F$22&lt;=$C$24,IF(F$22&lt;=$B$24,$B25,$B25+(F$22-$B$24)*($C25-$B25)/($C$24-$B$24)),$C25+(F$22-$C$24)*($D25-$C25)/($D$24-$C$24)),$D25+(F$22-$D$24)*($E25-$D25)/($E$24-$D$24)),$E25)</f>
        <v>1487.0145045438785</v>
      </c>
      <c r="G25" s="211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1487.0145045438785</v>
      </c>
      <c r="H25" s="211">
        <f t="shared" si="16"/>
        <v>1487.0145045438785</v>
      </c>
      <c r="I25" s="211">
        <f t="shared" si="16"/>
        <v>1487.0145045438785</v>
      </c>
      <c r="J25" s="211">
        <f t="shared" si="16"/>
        <v>1487.0145045438785</v>
      </c>
      <c r="K25" s="211">
        <f t="shared" si="16"/>
        <v>1487.0145045438785</v>
      </c>
      <c r="L25" s="211">
        <f t="shared" si="16"/>
        <v>1487.0145045438785</v>
      </c>
      <c r="M25" s="211">
        <f t="shared" si="16"/>
        <v>1487.0145045438785</v>
      </c>
      <c r="N25" s="211">
        <f t="shared" si="16"/>
        <v>1487.0145045438785</v>
      </c>
      <c r="O25" s="211">
        <f t="shared" si="16"/>
        <v>1487.0145045438785</v>
      </c>
      <c r="P25" s="211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1487.0145045438785</v>
      </c>
      <c r="Q25" s="211">
        <f t="shared" si="17"/>
        <v>1487.0145045438785</v>
      </c>
      <c r="R25" s="211">
        <f t="shared" si="17"/>
        <v>1487.0145045438785</v>
      </c>
      <c r="S25" s="211">
        <f>IF(S$22&lt;=$E$24,IF(S$22&lt;=$D$24,IF(S$22&lt;=$C$24,IF(S$22&lt;=$B$24,$B25,$B25+(S$22-$B$24)*($C25-$B25)/($C$24-$B$24)),$C25+(S$22-$C$24)*($D25-$C25)/($D$24-$C$24)),$D25+(S$22-$D$24)*($E25-$D25)/($E$24-$D$24)),$E25)</f>
        <v>1487.0145045438785</v>
      </c>
      <c r="T25" s="211">
        <f t="shared" si="17"/>
        <v>1487.0145045438785</v>
      </c>
      <c r="U25" s="211">
        <f t="shared" si="17"/>
        <v>1487.0145045438785</v>
      </c>
      <c r="V25" s="211">
        <f t="shared" si="17"/>
        <v>1487.0145045438785</v>
      </c>
      <c r="W25" s="211">
        <f t="shared" si="17"/>
        <v>1487.0145045438785</v>
      </c>
      <c r="X25" s="211">
        <f t="shared" si="17"/>
        <v>1487.0145045438785</v>
      </c>
      <c r="Y25" s="211">
        <f t="shared" si="17"/>
        <v>1487.0145045438785</v>
      </c>
      <c r="Z25" s="211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1487.0145045438785</v>
      </c>
      <c r="AA25" s="211">
        <f t="shared" si="18"/>
        <v>1487.0145045438785</v>
      </c>
      <c r="AB25" s="211">
        <f t="shared" si="18"/>
        <v>1487.0145045438785</v>
      </c>
      <c r="AC25" s="211">
        <f t="shared" si="18"/>
        <v>1487.0145045438785</v>
      </c>
      <c r="AD25" s="211">
        <f t="shared" si="18"/>
        <v>1487.0145045438785</v>
      </c>
      <c r="AE25" s="211">
        <f t="shared" si="18"/>
        <v>1503.7532969669251</v>
      </c>
      <c r="AF25" s="211">
        <f t="shared" si="18"/>
        <v>1537.2308818130182</v>
      </c>
      <c r="AG25" s="211">
        <f t="shared" si="18"/>
        <v>1570.7084666591113</v>
      </c>
      <c r="AH25" s="211">
        <f t="shared" si="18"/>
        <v>1604.1860515052044</v>
      </c>
      <c r="AI25" s="211">
        <f t="shared" si="18"/>
        <v>1637.6636363512976</v>
      </c>
      <c r="AJ25" s="211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1671.1412211973907</v>
      </c>
      <c r="AK25" s="211">
        <f t="shared" si="19"/>
        <v>1704.6188060434838</v>
      </c>
      <c r="AL25" s="211">
        <f t="shared" si="19"/>
        <v>1738.0963908895772</v>
      </c>
      <c r="AM25" s="211">
        <f t="shared" si="19"/>
        <v>1771.57397573567</v>
      </c>
      <c r="AN25" s="211">
        <f t="shared" si="19"/>
        <v>1805.0515605817634</v>
      </c>
      <c r="AO25" s="211">
        <f t="shared" si="19"/>
        <v>1838.5291454278565</v>
      </c>
      <c r="AP25" s="211">
        <f t="shared" si="19"/>
        <v>1872.0067302739496</v>
      </c>
      <c r="AQ25" s="211">
        <f t="shared" si="19"/>
        <v>1905.4843151200428</v>
      </c>
      <c r="AR25" s="211">
        <f t="shared" si="19"/>
        <v>1938.9618999661359</v>
      </c>
      <c r="AS25" s="211">
        <f t="shared" si="19"/>
        <v>1972.439484812229</v>
      </c>
      <c r="AT25" s="211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2005.9170696583224</v>
      </c>
      <c r="AU25" s="211">
        <f t="shared" si="20"/>
        <v>2039.3946545044155</v>
      </c>
      <c r="AV25" s="211">
        <f t="shared" si="20"/>
        <v>2072.8722393505086</v>
      </c>
      <c r="AW25" s="211">
        <f t="shared" si="20"/>
        <v>2106.3498241966017</v>
      </c>
      <c r="AX25" s="211">
        <f t="shared" si="20"/>
        <v>2139.8274090426949</v>
      </c>
      <c r="AY25" s="211">
        <f t="shared" si="20"/>
        <v>2173.304993888788</v>
      </c>
      <c r="AZ25" s="211">
        <f t="shared" si="20"/>
        <v>2206.7825787348811</v>
      </c>
      <c r="BA25" s="211">
        <f t="shared" si="20"/>
        <v>2240.2601635809742</v>
      </c>
      <c r="BB25" s="211">
        <f t="shared" si="20"/>
        <v>2273.7377484270673</v>
      </c>
      <c r="BC25" s="211">
        <f t="shared" si="20"/>
        <v>2307.2153332731605</v>
      </c>
      <c r="BD25" s="211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3458.8488009197026</v>
      </c>
      <c r="BE25" s="211">
        <f t="shared" si="21"/>
        <v>3458.8488009197026</v>
      </c>
      <c r="BF25" s="211">
        <f t="shared" si="21"/>
        <v>3458.8488009197026</v>
      </c>
      <c r="BG25" s="211">
        <f t="shared" si="21"/>
        <v>3458.8488009197026</v>
      </c>
      <c r="BH25" s="211">
        <f t="shared" si="21"/>
        <v>3458.8488009197026</v>
      </c>
      <c r="BI25" s="211">
        <f t="shared" si="21"/>
        <v>3458.8488009197026</v>
      </c>
      <c r="BJ25" s="211">
        <f t="shared" si="21"/>
        <v>3458.8488009197026</v>
      </c>
      <c r="BK25" s="211">
        <f t="shared" si="21"/>
        <v>3458.8488009197026</v>
      </c>
      <c r="BL25" s="211">
        <f t="shared" si="21"/>
        <v>3458.8488009197026</v>
      </c>
      <c r="BM25" s="211">
        <f t="shared" si="21"/>
        <v>3458.8488009197026</v>
      </c>
      <c r="BN25" s="211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3458.8488009197026</v>
      </c>
      <c r="BO25" s="211">
        <f t="shared" si="22"/>
        <v>3458.8488009197026</v>
      </c>
      <c r="BP25" s="211">
        <f t="shared" si="22"/>
        <v>3458.8488009197026</v>
      </c>
      <c r="BQ25" s="211">
        <f t="shared" si="22"/>
        <v>3458.8488009197026</v>
      </c>
      <c r="BR25" s="211">
        <f t="shared" si="22"/>
        <v>3458.8488009197026</v>
      </c>
      <c r="BS25" s="211">
        <f t="shared" si="22"/>
        <v>3458.8488009197026</v>
      </c>
      <c r="BT25" s="211">
        <f t="shared" si="22"/>
        <v>3458.8488009197026</v>
      </c>
      <c r="BU25" s="211">
        <f t="shared" si="22"/>
        <v>3458.8488009197026</v>
      </c>
      <c r="BV25" s="211">
        <f t="shared" si="22"/>
        <v>3458.8488009197026</v>
      </c>
      <c r="BW25" s="211">
        <f t="shared" si="22"/>
        <v>3458.8488009197026</v>
      </c>
      <c r="BX25" s="211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3458.8488009197026</v>
      </c>
      <c r="BY25" s="211">
        <f t="shared" si="23"/>
        <v>3458.8488009197026</v>
      </c>
      <c r="BZ25" s="211">
        <f t="shared" si="23"/>
        <v>3458.8488009197026</v>
      </c>
      <c r="CA25" s="211">
        <f t="shared" si="23"/>
        <v>3458.8488009197026</v>
      </c>
      <c r="CB25" s="211">
        <f t="shared" si="23"/>
        <v>3458.8488009197026</v>
      </c>
      <c r="CC25" s="211">
        <f t="shared" si="23"/>
        <v>3458.8488009197026</v>
      </c>
      <c r="CD25" s="211">
        <f t="shared" si="23"/>
        <v>3458.8488009197026</v>
      </c>
      <c r="CE25" s="211">
        <f t="shared" si="23"/>
        <v>3458.8488009197026</v>
      </c>
      <c r="CF25" s="211">
        <f t="shared" si="23"/>
        <v>3458.8488009197026</v>
      </c>
      <c r="CG25" s="211">
        <f t="shared" si="23"/>
        <v>3458.8488009197026</v>
      </c>
      <c r="CH25" s="211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3458.8488009197026</v>
      </c>
      <c r="CI25" s="211">
        <f t="shared" si="24"/>
        <v>3458.8488009197026</v>
      </c>
      <c r="CJ25" s="211">
        <f t="shared" si="24"/>
        <v>3458.8488009197026</v>
      </c>
      <c r="CK25" s="211">
        <f t="shared" si="24"/>
        <v>3458.8488009197026</v>
      </c>
      <c r="CL25" s="211">
        <f t="shared" si="24"/>
        <v>3458.8488009197026</v>
      </c>
      <c r="CM25" s="211">
        <f t="shared" si="24"/>
        <v>3458.8488009197026</v>
      </c>
      <c r="CN25" s="211">
        <f t="shared" si="24"/>
        <v>3458.8488009197026</v>
      </c>
      <c r="CO25" s="211">
        <f t="shared" si="24"/>
        <v>3458.8488009197026</v>
      </c>
      <c r="CP25" s="211">
        <f t="shared" si="24"/>
        <v>3458.8488009197026</v>
      </c>
      <c r="CQ25" s="211">
        <f t="shared" si="24"/>
        <v>3458.8488009197026</v>
      </c>
      <c r="CR25" s="211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3458.8488009197026</v>
      </c>
      <c r="CS25" s="211">
        <f t="shared" si="25"/>
        <v>3458.8488009197026</v>
      </c>
      <c r="CT25" s="211">
        <f t="shared" si="25"/>
        <v>3458.8488009197026</v>
      </c>
      <c r="CU25" s="211">
        <f t="shared" si="25"/>
        <v>3458.8488009197026</v>
      </c>
      <c r="CV25" s="211">
        <f t="shared" si="25"/>
        <v>3458.8488009197026</v>
      </c>
      <c r="CW25" s="211">
        <f t="shared" si="25"/>
        <v>3458.8488009197026</v>
      </c>
      <c r="CX25" s="211">
        <f t="shared" si="25"/>
        <v>3458.8488009197026</v>
      </c>
      <c r="CY25" s="211">
        <f t="shared" si="25"/>
        <v>3458.8488009197026</v>
      </c>
      <c r="CZ25" s="211">
        <f t="shared" si="25"/>
        <v>3458.8488009197026</v>
      </c>
      <c r="DA25" s="211">
        <f t="shared" si="25"/>
        <v>3458.8488009197026</v>
      </c>
    </row>
    <row r="26" spans="1:105">
      <c r="A26" s="202" t="str">
        <f>Income!A73</f>
        <v>Own crops sold</v>
      </c>
      <c r="B26" s="204">
        <f>Income!B73</f>
        <v>0</v>
      </c>
      <c r="C26" s="204">
        <f>Income!C73</f>
        <v>0</v>
      </c>
      <c r="D26" s="204">
        <f>Income!D73</f>
        <v>168.00000000000003</v>
      </c>
      <c r="E26" s="204">
        <f>Income!E73</f>
        <v>18345.600000000002</v>
      </c>
      <c r="F26" s="211">
        <f t="shared" si="16"/>
        <v>0</v>
      </c>
      <c r="G26" s="211">
        <f t="shared" si="16"/>
        <v>0</v>
      </c>
      <c r="H26" s="211">
        <f t="shared" si="16"/>
        <v>0</v>
      </c>
      <c r="I26" s="211">
        <f t="shared" si="16"/>
        <v>0</v>
      </c>
      <c r="J26" s="211">
        <f t="shared" si="16"/>
        <v>0</v>
      </c>
      <c r="K26" s="211">
        <f t="shared" si="16"/>
        <v>0</v>
      </c>
      <c r="L26" s="211">
        <f t="shared" si="16"/>
        <v>0</v>
      </c>
      <c r="M26" s="211">
        <f t="shared" si="16"/>
        <v>0</v>
      </c>
      <c r="N26" s="211">
        <f t="shared" si="16"/>
        <v>0</v>
      </c>
      <c r="O26" s="211">
        <f t="shared" si="16"/>
        <v>0</v>
      </c>
      <c r="P26" s="211">
        <f t="shared" si="17"/>
        <v>0</v>
      </c>
      <c r="Q26" s="211">
        <f t="shared" si="17"/>
        <v>0</v>
      </c>
      <c r="R26" s="211">
        <f t="shared" si="17"/>
        <v>0</v>
      </c>
      <c r="S26" s="211">
        <f t="shared" si="17"/>
        <v>0</v>
      </c>
      <c r="T26" s="211">
        <f t="shared" si="17"/>
        <v>0</v>
      </c>
      <c r="U26" s="211">
        <f t="shared" si="17"/>
        <v>0</v>
      </c>
      <c r="V26" s="211">
        <f t="shared" si="17"/>
        <v>0</v>
      </c>
      <c r="W26" s="211">
        <f t="shared" si="17"/>
        <v>0</v>
      </c>
      <c r="X26" s="211">
        <f t="shared" si="17"/>
        <v>0</v>
      </c>
      <c r="Y26" s="211">
        <f t="shared" si="17"/>
        <v>0</v>
      </c>
      <c r="Z26" s="211">
        <f t="shared" si="18"/>
        <v>0</v>
      </c>
      <c r="AA26" s="211">
        <f t="shared" si="18"/>
        <v>0</v>
      </c>
      <c r="AB26" s="211">
        <f t="shared" si="18"/>
        <v>0</v>
      </c>
      <c r="AC26" s="211">
        <f t="shared" si="18"/>
        <v>0</v>
      </c>
      <c r="AD26" s="211">
        <f t="shared" si="18"/>
        <v>0</v>
      </c>
      <c r="AE26" s="211">
        <f t="shared" si="18"/>
        <v>0</v>
      </c>
      <c r="AF26" s="211">
        <f t="shared" si="18"/>
        <v>0</v>
      </c>
      <c r="AG26" s="211">
        <f t="shared" si="18"/>
        <v>0</v>
      </c>
      <c r="AH26" s="211">
        <f t="shared" si="18"/>
        <v>0</v>
      </c>
      <c r="AI26" s="211">
        <f t="shared" si="18"/>
        <v>0</v>
      </c>
      <c r="AJ26" s="211">
        <f t="shared" si="19"/>
        <v>0</v>
      </c>
      <c r="AK26" s="211">
        <f t="shared" si="19"/>
        <v>0</v>
      </c>
      <c r="AL26" s="211">
        <f t="shared" si="19"/>
        <v>0</v>
      </c>
      <c r="AM26" s="211">
        <f t="shared" si="19"/>
        <v>0</v>
      </c>
      <c r="AN26" s="211">
        <f t="shared" si="19"/>
        <v>0</v>
      </c>
      <c r="AO26" s="211">
        <f t="shared" si="19"/>
        <v>0</v>
      </c>
      <c r="AP26" s="211">
        <f t="shared" si="19"/>
        <v>0</v>
      </c>
      <c r="AQ26" s="211">
        <f t="shared" si="19"/>
        <v>0</v>
      </c>
      <c r="AR26" s="211">
        <f t="shared" si="19"/>
        <v>0</v>
      </c>
      <c r="AS26" s="211">
        <f t="shared" si="19"/>
        <v>0</v>
      </c>
      <c r="AT26" s="211">
        <f t="shared" si="20"/>
        <v>0</v>
      </c>
      <c r="AU26" s="211">
        <f t="shared" si="20"/>
        <v>0</v>
      </c>
      <c r="AV26" s="211">
        <f t="shared" si="20"/>
        <v>0</v>
      </c>
      <c r="AW26" s="211">
        <f t="shared" si="20"/>
        <v>0</v>
      </c>
      <c r="AX26" s="211">
        <f t="shared" si="20"/>
        <v>0</v>
      </c>
      <c r="AY26" s="211">
        <f t="shared" si="20"/>
        <v>0</v>
      </c>
      <c r="AZ26" s="211">
        <f t="shared" si="20"/>
        <v>0</v>
      </c>
      <c r="BA26" s="211">
        <f t="shared" si="20"/>
        <v>0</v>
      </c>
      <c r="BB26" s="211">
        <f t="shared" si="20"/>
        <v>0</v>
      </c>
      <c r="BC26" s="211">
        <f t="shared" si="20"/>
        <v>0</v>
      </c>
      <c r="BD26" s="211">
        <f t="shared" si="21"/>
        <v>18345.600000000002</v>
      </c>
      <c r="BE26" s="211">
        <f t="shared" si="21"/>
        <v>18345.600000000002</v>
      </c>
      <c r="BF26" s="211">
        <f t="shared" si="21"/>
        <v>18345.600000000002</v>
      </c>
      <c r="BG26" s="211">
        <f t="shared" si="21"/>
        <v>18345.600000000002</v>
      </c>
      <c r="BH26" s="211">
        <f t="shared" si="21"/>
        <v>18345.600000000002</v>
      </c>
      <c r="BI26" s="211">
        <f t="shared" si="21"/>
        <v>18345.600000000002</v>
      </c>
      <c r="BJ26" s="211">
        <f t="shared" si="21"/>
        <v>18345.600000000002</v>
      </c>
      <c r="BK26" s="211">
        <f t="shared" si="21"/>
        <v>18345.600000000002</v>
      </c>
      <c r="BL26" s="211">
        <f t="shared" si="21"/>
        <v>18345.600000000002</v>
      </c>
      <c r="BM26" s="211">
        <f t="shared" si="21"/>
        <v>18345.600000000002</v>
      </c>
      <c r="BN26" s="211">
        <f t="shared" si="22"/>
        <v>18345.600000000002</v>
      </c>
      <c r="BO26" s="211">
        <f t="shared" si="22"/>
        <v>18345.600000000002</v>
      </c>
      <c r="BP26" s="211">
        <f t="shared" si="22"/>
        <v>18345.600000000002</v>
      </c>
      <c r="BQ26" s="211">
        <f t="shared" si="22"/>
        <v>18345.600000000002</v>
      </c>
      <c r="BR26" s="211">
        <f t="shared" si="22"/>
        <v>18345.600000000002</v>
      </c>
      <c r="BS26" s="211">
        <f t="shared" si="22"/>
        <v>18345.600000000002</v>
      </c>
      <c r="BT26" s="211">
        <f t="shared" si="22"/>
        <v>18345.600000000002</v>
      </c>
      <c r="BU26" s="211">
        <f t="shared" si="22"/>
        <v>18345.600000000002</v>
      </c>
      <c r="BV26" s="211">
        <f t="shared" si="22"/>
        <v>18345.600000000002</v>
      </c>
      <c r="BW26" s="211">
        <f t="shared" si="22"/>
        <v>18345.600000000002</v>
      </c>
      <c r="BX26" s="211">
        <f t="shared" si="23"/>
        <v>18345.600000000002</v>
      </c>
      <c r="BY26" s="211">
        <f t="shared" si="23"/>
        <v>18345.600000000002</v>
      </c>
      <c r="BZ26" s="211">
        <f t="shared" si="23"/>
        <v>18345.600000000002</v>
      </c>
      <c r="CA26" s="211">
        <f t="shared" si="23"/>
        <v>18345.600000000002</v>
      </c>
      <c r="CB26" s="211">
        <f t="shared" si="23"/>
        <v>18345.600000000002</v>
      </c>
      <c r="CC26" s="211">
        <f t="shared" si="23"/>
        <v>18345.600000000002</v>
      </c>
      <c r="CD26" s="211">
        <f t="shared" si="23"/>
        <v>18345.600000000002</v>
      </c>
      <c r="CE26" s="211">
        <f t="shared" si="23"/>
        <v>18345.600000000002</v>
      </c>
      <c r="CF26" s="211">
        <f t="shared" si="23"/>
        <v>18345.600000000002</v>
      </c>
      <c r="CG26" s="211">
        <f t="shared" si="23"/>
        <v>18345.600000000002</v>
      </c>
      <c r="CH26" s="211">
        <f t="shared" si="24"/>
        <v>18345.600000000002</v>
      </c>
      <c r="CI26" s="211">
        <f t="shared" si="24"/>
        <v>18345.600000000002</v>
      </c>
      <c r="CJ26" s="211">
        <f t="shared" si="24"/>
        <v>18345.600000000002</v>
      </c>
      <c r="CK26" s="211">
        <f t="shared" si="24"/>
        <v>18345.600000000002</v>
      </c>
      <c r="CL26" s="211">
        <f t="shared" si="24"/>
        <v>18345.600000000002</v>
      </c>
      <c r="CM26" s="211">
        <f t="shared" si="24"/>
        <v>18345.600000000002</v>
      </c>
      <c r="CN26" s="211">
        <f t="shared" si="24"/>
        <v>18345.600000000002</v>
      </c>
      <c r="CO26" s="211">
        <f t="shared" si="24"/>
        <v>18345.600000000002</v>
      </c>
      <c r="CP26" s="211">
        <f t="shared" si="24"/>
        <v>18345.600000000002</v>
      </c>
      <c r="CQ26" s="211">
        <f t="shared" si="24"/>
        <v>18345.600000000002</v>
      </c>
      <c r="CR26" s="211">
        <f t="shared" si="25"/>
        <v>18345.600000000002</v>
      </c>
      <c r="CS26" s="211">
        <f t="shared" si="25"/>
        <v>18345.600000000002</v>
      </c>
      <c r="CT26" s="211">
        <f t="shared" si="25"/>
        <v>18345.600000000002</v>
      </c>
      <c r="CU26" s="211">
        <f t="shared" si="25"/>
        <v>18345.600000000002</v>
      </c>
      <c r="CV26" s="211">
        <f t="shared" si="25"/>
        <v>18345.600000000002</v>
      </c>
      <c r="CW26" s="211">
        <f t="shared" si="25"/>
        <v>18345.600000000002</v>
      </c>
      <c r="CX26" s="211">
        <f t="shared" si="25"/>
        <v>18345.600000000002</v>
      </c>
      <c r="CY26" s="211">
        <f t="shared" si="25"/>
        <v>18345.600000000002</v>
      </c>
      <c r="CZ26" s="211">
        <f t="shared" si="25"/>
        <v>18345.600000000002</v>
      </c>
      <c r="DA26" s="211">
        <f t="shared" si="25"/>
        <v>18345.600000000002</v>
      </c>
    </row>
    <row r="27" spans="1:105">
      <c r="A27" s="202" t="str">
        <f>Income!A74</f>
        <v>Animal products consumed</v>
      </c>
      <c r="B27" s="204">
        <f>Income!B74</f>
        <v>0</v>
      </c>
      <c r="C27" s="204">
        <f>Income!C74</f>
        <v>22.602112558965903</v>
      </c>
      <c r="D27" s="204">
        <f>Income!D74</f>
        <v>938.42932167237541</v>
      </c>
      <c r="E27" s="204">
        <f>Income!E74</f>
        <v>1530.3594248062977</v>
      </c>
      <c r="F27" s="211">
        <f t="shared" si="16"/>
        <v>0</v>
      </c>
      <c r="G27" s="211">
        <f t="shared" si="16"/>
        <v>0</v>
      </c>
      <c r="H27" s="211">
        <f t="shared" si="16"/>
        <v>0</v>
      </c>
      <c r="I27" s="211">
        <f t="shared" si="16"/>
        <v>0</v>
      </c>
      <c r="J27" s="211">
        <f t="shared" si="16"/>
        <v>0</v>
      </c>
      <c r="K27" s="211">
        <f t="shared" si="16"/>
        <v>0</v>
      </c>
      <c r="L27" s="211">
        <f t="shared" si="16"/>
        <v>0</v>
      </c>
      <c r="M27" s="211">
        <f t="shared" si="16"/>
        <v>0</v>
      </c>
      <c r="N27" s="211">
        <f t="shared" si="16"/>
        <v>0</v>
      </c>
      <c r="O27" s="211">
        <f t="shared" si="16"/>
        <v>0</v>
      </c>
      <c r="P27" s="211">
        <f t="shared" si="17"/>
        <v>0</v>
      </c>
      <c r="Q27" s="211">
        <f t="shared" si="17"/>
        <v>0</v>
      </c>
      <c r="R27" s="211">
        <f t="shared" si="17"/>
        <v>0</v>
      </c>
      <c r="S27" s="211">
        <f t="shared" si="17"/>
        <v>0</v>
      </c>
      <c r="T27" s="211">
        <f t="shared" si="17"/>
        <v>0</v>
      </c>
      <c r="U27" s="211">
        <f t="shared" si="17"/>
        <v>0</v>
      </c>
      <c r="V27" s="211">
        <f t="shared" si="17"/>
        <v>0</v>
      </c>
      <c r="W27" s="211">
        <f t="shared" si="17"/>
        <v>0</v>
      </c>
      <c r="X27" s="211">
        <f t="shared" si="17"/>
        <v>0</v>
      </c>
      <c r="Y27" s="211">
        <f t="shared" si="17"/>
        <v>0</v>
      </c>
      <c r="Z27" s="211">
        <f t="shared" si="18"/>
        <v>0</v>
      </c>
      <c r="AA27" s="211">
        <f t="shared" si="18"/>
        <v>0</v>
      </c>
      <c r="AB27" s="211">
        <f t="shared" si="18"/>
        <v>0</v>
      </c>
      <c r="AC27" s="211">
        <f t="shared" si="18"/>
        <v>0</v>
      </c>
      <c r="AD27" s="211">
        <f t="shared" si="18"/>
        <v>0</v>
      </c>
      <c r="AE27" s="211">
        <f t="shared" si="18"/>
        <v>0.46126760324420207</v>
      </c>
      <c r="AF27" s="211">
        <f t="shared" si="18"/>
        <v>1.3838028097326063</v>
      </c>
      <c r="AG27" s="211">
        <f t="shared" si="18"/>
        <v>2.3063380162210105</v>
      </c>
      <c r="AH27" s="211">
        <f t="shared" si="18"/>
        <v>3.2288732227094146</v>
      </c>
      <c r="AI27" s="211">
        <f t="shared" si="18"/>
        <v>4.1514084291978186</v>
      </c>
      <c r="AJ27" s="211">
        <f t="shared" si="19"/>
        <v>5.0739436356862226</v>
      </c>
      <c r="AK27" s="211">
        <f t="shared" si="19"/>
        <v>5.9964788421746267</v>
      </c>
      <c r="AL27" s="211">
        <f t="shared" si="19"/>
        <v>6.9190140486630307</v>
      </c>
      <c r="AM27" s="211">
        <f t="shared" si="19"/>
        <v>7.8415492551514365</v>
      </c>
      <c r="AN27" s="211">
        <f t="shared" si="19"/>
        <v>8.7640844616398397</v>
      </c>
      <c r="AO27" s="211">
        <f t="shared" si="19"/>
        <v>9.6866196681282446</v>
      </c>
      <c r="AP27" s="211">
        <f t="shared" si="19"/>
        <v>10.609154874616648</v>
      </c>
      <c r="AQ27" s="211">
        <f t="shared" si="19"/>
        <v>11.531690081105054</v>
      </c>
      <c r="AR27" s="211">
        <f t="shared" si="19"/>
        <v>12.454225287593456</v>
      </c>
      <c r="AS27" s="211">
        <f t="shared" si="19"/>
        <v>13.376760494081863</v>
      </c>
      <c r="AT27" s="211">
        <f t="shared" si="20"/>
        <v>14.299295700570264</v>
      </c>
      <c r="AU27" s="211">
        <f t="shared" si="20"/>
        <v>15.221830907058671</v>
      </c>
      <c r="AV27" s="211">
        <f t="shared" si="20"/>
        <v>16.144366113547072</v>
      </c>
      <c r="AW27" s="211">
        <f t="shared" si="20"/>
        <v>17.066901320035477</v>
      </c>
      <c r="AX27" s="211">
        <f t="shared" si="20"/>
        <v>17.989436526523882</v>
      </c>
      <c r="AY27" s="211">
        <f t="shared" si="20"/>
        <v>18.911971733012287</v>
      </c>
      <c r="AZ27" s="211">
        <f t="shared" si="20"/>
        <v>19.834506939500692</v>
      </c>
      <c r="BA27" s="211">
        <f t="shared" si="20"/>
        <v>20.757042145989093</v>
      </c>
      <c r="BB27" s="211">
        <f t="shared" si="20"/>
        <v>21.679577352477498</v>
      </c>
      <c r="BC27" s="211">
        <f t="shared" si="20"/>
        <v>22.602112558965903</v>
      </c>
      <c r="BD27" s="211">
        <f t="shared" si="21"/>
        <v>1530.3594248062977</v>
      </c>
      <c r="BE27" s="211">
        <f t="shared" si="21"/>
        <v>1530.3594248062977</v>
      </c>
      <c r="BF27" s="211">
        <f t="shared" si="21"/>
        <v>1530.3594248062977</v>
      </c>
      <c r="BG27" s="211">
        <f t="shared" si="21"/>
        <v>1530.3594248062977</v>
      </c>
      <c r="BH27" s="211">
        <f t="shared" si="21"/>
        <v>1530.3594248062977</v>
      </c>
      <c r="BI27" s="211">
        <f t="shared" si="21"/>
        <v>1530.3594248062977</v>
      </c>
      <c r="BJ27" s="211">
        <f t="shared" si="21"/>
        <v>1530.3594248062977</v>
      </c>
      <c r="BK27" s="211">
        <f t="shared" si="21"/>
        <v>1530.3594248062977</v>
      </c>
      <c r="BL27" s="211">
        <f t="shared" si="21"/>
        <v>1530.3594248062977</v>
      </c>
      <c r="BM27" s="211">
        <f t="shared" si="21"/>
        <v>1530.3594248062977</v>
      </c>
      <c r="BN27" s="211">
        <f t="shared" si="22"/>
        <v>1530.3594248062977</v>
      </c>
      <c r="BO27" s="211">
        <f t="shared" si="22"/>
        <v>1530.3594248062977</v>
      </c>
      <c r="BP27" s="211">
        <f t="shared" si="22"/>
        <v>1530.3594248062977</v>
      </c>
      <c r="BQ27" s="211">
        <f t="shared" si="22"/>
        <v>1530.3594248062977</v>
      </c>
      <c r="BR27" s="211">
        <f t="shared" si="22"/>
        <v>1530.3594248062977</v>
      </c>
      <c r="BS27" s="211">
        <f t="shared" si="22"/>
        <v>1530.3594248062977</v>
      </c>
      <c r="BT27" s="211">
        <f t="shared" si="22"/>
        <v>1530.3594248062977</v>
      </c>
      <c r="BU27" s="211">
        <f t="shared" si="22"/>
        <v>1530.3594248062977</v>
      </c>
      <c r="BV27" s="211">
        <f t="shared" si="22"/>
        <v>1530.3594248062977</v>
      </c>
      <c r="BW27" s="211">
        <f t="shared" si="22"/>
        <v>1530.3594248062977</v>
      </c>
      <c r="BX27" s="211">
        <f t="shared" si="23"/>
        <v>1530.3594248062977</v>
      </c>
      <c r="BY27" s="211">
        <f t="shared" si="23"/>
        <v>1530.3594248062977</v>
      </c>
      <c r="BZ27" s="211">
        <f t="shared" si="23"/>
        <v>1530.3594248062977</v>
      </c>
      <c r="CA27" s="211">
        <f t="shared" si="23"/>
        <v>1530.3594248062977</v>
      </c>
      <c r="CB27" s="211">
        <f t="shared" si="23"/>
        <v>1530.3594248062977</v>
      </c>
      <c r="CC27" s="211">
        <f t="shared" si="23"/>
        <v>1530.3594248062977</v>
      </c>
      <c r="CD27" s="211">
        <f t="shared" si="23"/>
        <v>1530.3594248062977</v>
      </c>
      <c r="CE27" s="211">
        <f t="shared" si="23"/>
        <v>1530.3594248062977</v>
      </c>
      <c r="CF27" s="211">
        <f t="shared" si="23"/>
        <v>1530.3594248062977</v>
      </c>
      <c r="CG27" s="211">
        <f t="shared" si="23"/>
        <v>1530.3594248062977</v>
      </c>
      <c r="CH27" s="211">
        <f t="shared" si="24"/>
        <v>1530.3594248062977</v>
      </c>
      <c r="CI27" s="211">
        <f t="shared" si="24"/>
        <v>1530.3594248062977</v>
      </c>
      <c r="CJ27" s="211">
        <f t="shared" si="24"/>
        <v>1530.3594248062977</v>
      </c>
      <c r="CK27" s="211">
        <f t="shared" si="24"/>
        <v>1530.3594248062977</v>
      </c>
      <c r="CL27" s="211">
        <f t="shared" si="24"/>
        <v>1530.3594248062977</v>
      </c>
      <c r="CM27" s="211">
        <f t="shared" si="24"/>
        <v>1530.3594248062977</v>
      </c>
      <c r="CN27" s="211">
        <f t="shared" si="24"/>
        <v>1530.3594248062977</v>
      </c>
      <c r="CO27" s="211">
        <f t="shared" si="24"/>
        <v>1530.3594248062977</v>
      </c>
      <c r="CP27" s="211">
        <f t="shared" si="24"/>
        <v>1530.3594248062977</v>
      </c>
      <c r="CQ27" s="211">
        <f t="shared" si="24"/>
        <v>1530.3594248062977</v>
      </c>
      <c r="CR27" s="211">
        <f t="shared" si="25"/>
        <v>1530.3594248062977</v>
      </c>
      <c r="CS27" s="211">
        <f t="shared" si="25"/>
        <v>1530.3594248062977</v>
      </c>
      <c r="CT27" s="211">
        <f t="shared" si="25"/>
        <v>1530.3594248062977</v>
      </c>
      <c r="CU27" s="211">
        <f t="shared" si="25"/>
        <v>1530.3594248062977</v>
      </c>
      <c r="CV27" s="211">
        <f t="shared" si="25"/>
        <v>1530.3594248062977</v>
      </c>
      <c r="CW27" s="211">
        <f t="shared" si="25"/>
        <v>1530.3594248062977</v>
      </c>
      <c r="CX27" s="211">
        <f t="shared" si="25"/>
        <v>1530.3594248062977</v>
      </c>
      <c r="CY27" s="211">
        <f t="shared" si="25"/>
        <v>1530.3594248062977</v>
      </c>
      <c r="CZ27" s="211">
        <f t="shared" si="25"/>
        <v>1530.3594248062977</v>
      </c>
      <c r="DA27" s="211">
        <f t="shared" si="25"/>
        <v>1530.3594248062977</v>
      </c>
    </row>
    <row r="28" spans="1:105">
      <c r="A28" s="202" t="str">
        <f>Income!A75</f>
        <v>Animal products sold</v>
      </c>
      <c r="B28" s="204">
        <f>Income!B75</f>
        <v>0</v>
      </c>
      <c r="C28" s="204">
        <f>Income!C75</f>
        <v>0</v>
      </c>
      <c r="D28" s="204">
        <f>Income!D75</f>
        <v>0</v>
      </c>
      <c r="E28" s="204">
        <f>Income!E75</f>
        <v>0</v>
      </c>
      <c r="F28" s="211">
        <f t="shared" si="16"/>
        <v>0</v>
      </c>
      <c r="G28" s="211">
        <f t="shared" si="16"/>
        <v>0</v>
      </c>
      <c r="H28" s="211">
        <f t="shared" si="16"/>
        <v>0</v>
      </c>
      <c r="I28" s="211">
        <f t="shared" si="16"/>
        <v>0</v>
      </c>
      <c r="J28" s="211">
        <f t="shared" si="16"/>
        <v>0</v>
      </c>
      <c r="K28" s="211">
        <f t="shared" si="16"/>
        <v>0</v>
      </c>
      <c r="L28" s="211">
        <f t="shared" si="16"/>
        <v>0</v>
      </c>
      <c r="M28" s="211">
        <f t="shared" si="16"/>
        <v>0</v>
      </c>
      <c r="N28" s="211">
        <f t="shared" si="16"/>
        <v>0</v>
      </c>
      <c r="O28" s="211">
        <f t="shared" si="16"/>
        <v>0</v>
      </c>
      <c r="P28" s="211">
        <f t="shared" si="17"/>
        <v>0</v>
      </c>
      <c r="Q28" s="211">
        <f t="shared" si="17"/>
        <v>0</v>
      </c>
      <c r="R28" s="211">
        <f t="shared" si="17"/>
        <v>0</v>
      </c>
      <c r="S28" s="211">
        <f t="shared" si="17"/>
        <v>0</v>
      </c>
      <c r="T28" s="211">
        <f t="shared" si="17"/>
        <v>0</v>
      </c>
      <c r="U28" s="211">
        <f t="shared" si="17"/>
        <v>0</v>
      </c>
      <c r="V28" s="211">
        <f t="shared" si="17"/>
        <v>0</v>
      </c>
      <c r="W28" s="211">
        <f t="shared" si="17"/>
        <v>0</v>
      </c>
      <c r="X28" s="211">
        <f t="shared" si="17"/>
        <v>0</v>
      </c>
      <c r="Y28" s="211">
        <f t="shared" si="17"/>
        <v>0</v>
      </c>
      <c r="Z28" s="211">
        <f t="shared" si="18"/>
        <v>0</v>
      </c>
      <c r="AA28" s="211">
        <f t="shared" si="18"/>
        <v>0</v>
      </c>
      <c r="AB28" s="211">
        <f t="shared" si="18"/>
        <v>0</v>
      </c>
      <c r="AC28" s="211">
        <f t="shared" si="18"/>
        <v>0</v>
      </c>
      <c r="AD28" s="211">
        <f t="shared" si="18"/>
        <v>0</v>
      </c>
      <c r="AE28" s="211">
        <f t="shared" si="18"/>
        <v>0</v>
      </c>
      <c r="AF28" s="211">
        <f t="shared" si="18"/>
        <v>0</v>
      </c>
      <c r="AG28" s="211">
        <f t="shared" si="18"/>
        <v>0</v>
      </c>
      <c r="AH28" s="211">
        <f t="shared" si="18"/>
        <v>0</v>
      </c>
      <c r="AI28" s="211">
        <f t="shared" si="18"/>
        <v>0</v>
      </c>
      <c r="AJ28" s="211">
        <f t="shared" si="19"/>
        <v>0</v>
      </c>
      <c r="AK28" s="211">
        <f t="shared" si="19"/>
        <v>0</v>
      </c>
      <c r="AL28" s="211">
        <f t="shared" si="19"/>
        <v>0</v>
      </c>
      <c r="AM28" s="211">
        <f t="shared" si="19"/>
        <v>0</v>
      </c>
      <c r="AN28" s="211">
        <f t="shared" si="19"/>
        <v>0</v>
      </c>
      <c r="AO28" s="211">
        <f t="shared" si="19"/>
        <v>0</v>
      </c>
      <c r="AP28" s="211">
        <f t="shared" si="19"/>
        <v>0</v>
      </c>
      <c r="AQ28" s="211">
        <f t="shared" si="19"/>
        <v>0</v>
      </c>
      <c r="AR28" s="211">
        <f t="shared" si="19"/>
        <v>0</v>
      </c>
      <c r="AS28" s="211">
        <f t="shared" si="19"/>
        <v>0</v>
      </c>
      <c r="AT28" s="211">
        <f t="shared" si="20"/>
        <v>0</v>
      </c>
      <c r="AU28" s="211">
        <f t="shared" si="20"/>
        <v>0</v>
      </c>
      <c r="AV28" s="211">
        <f t="shared" si="20"/>
        <v>0</v>
      </c>
      <c r="AW28" s="211">
        <f t="shared" si="20"/>
        <v>0</v>
      </c>
      <c r="AX28" s="211">
        <f t="shared" si="20"/>
        <v>0</v>
      </c>
      <c r="AY28" s="211">
        <f t="shared" si="20"/>
        <v>0</v>
      </c>
      <c r="AZ28" s="211">
        <f t="shared" si="20"/>
        <v>0</v>
      </c>
      <c r="BA28" s="211">
        <f t="shared" si="20"/>
        <v>0</v>
      </c>
      <c r="BB28" s="211">
        <f t="shared" si="20"/>
        <v>0</v>
      </c>
      <c r="BC28" s="211">
        <f t="shared" si="20"/>
        <v>0</v>
      </c>
      <c r="BD28" s="211">
        <f t="shared" si="21"/>
        <v>0</v>
      </c>
      <c r="BE28" s="211">
        <f t="shared" si="21"/>
        <v>0</v>
      </c>
      <c r="BF28" s="211">
        <f t="shared" si="21"/>
        <v>0</v>
      </c>
      <c r="BG28" s="211">
        <f t="shared" si="21"/>
        <v>0</v>
      </c>
      <c r="BH28" s="211">
        <f t="shared" si="21"/>
        <v>0</v>
      </c>
      <c r="BI28" s="211">
        <f t="shared" si="21"/>
        <v>0</v>
      </c>
      <c r="BJ28" s="211">
        <f t="shared" si="21"/>
        <v>0</v>
      </c>
      <c r="BK28" s="211">
        <f t="shared" si="21"/>
        <v>0</v>
      </c>
      <c r="BL28" s="211">
        <f t="shared" si="21"/>
        <v>0</v>
      </c>
      <c r="BM28" s="211">
        <f t="shared" si="21"/>
        <v>0</v>
      </c>
      <c r="BN28" s="211">
        <f t="shared" si="22"/>
        <v>0</v>
      </c>
      <c r="BO28" s="211">
        <f t="shared" si="22"/>
        <v>0</v>
      </c>
      <c r="BP28" s="211">
        <f t="shared" si="22"/>
        <v>0</v>
      </c>
      <c r="BQ28" s="211">
        <f t="shared" si="22"/>
        <v>0</v>
      </c>
      <c r="BR28" s="211">
        <f t="shared" si="22"/>
        <v>0</v>
      </c>
      <c r="BS28" s="211">
        <f t="shared" si="22"/>
        <v>0</v>
      </c>
      <c r="BT28" s="211">
        <f t="shared" si="22"/>
        <v>0</v>
      </c>
      <c r="BU28" s="211">
        <f t="shared" si="22"/>
        <v>0</v>
      </c>
      <c r="BV28" s="211">
        <f t="shared" si="22"/>
        <v>0</v>
      </c>
      <c r="BW28" s="211">
        <f t="shared" si="22"/>
        <v>0</v>
      </c>
      <c r="BX28" s="211">
        <f t="shared" si="23"/>
        <v>0</v>
      </c>
      <c r="BY28" s="211">
        <f t="shared" si="23"/>
        <v>0</v>
      </c>
      <c r="BZ28" s="211">
        <f t="shared" si="23"/>
        <v>0</v>
      </c>
      <c r="CA28" s="211">
        <f t="shared" si="23"/>
        <v>0</v>
      </c>
      <c r="CB28" s="211">
        <f t="shared" si="23"/>
        <v>0</v>
      </c>
      <c r="CC28" s="211">
        <f t="shared" si="23"/>
        <v>0</v>
      </c>
      <c r="CD28" s="211">
        <f t="shared" si="23"/>
        <v>0</v>
      </c>
      <c r="CE28" s="211">
        <f t="shared" si="23"/>
        <v>0</v>
      </c>
      <c r="CF28" s="211">
        <f t="shared" si="23"/>
        <v>0</v>
      </c>
      <c r="CG28" s="211">
        <f t="shared" si="23"/>
        <v>0</v>
      </c>
      <c r="CH28" s="211">
        <f t="shared" si="24"/>
        <v>0</v>
      </c>
      <c r="CI28" s="211">
        <f t="shared" si="24"/>
        <v>0</v>
      </c>
      <c r="CJ28" s="211">
        <f t="shared" si="24"/>
        <v>0</v>
      </c>
      <c r="CK28" s="211">
        <f t="shared" si="24"/>
        <v>0</v>
      </c>
      <c r="CL28" s="211">
        <f t="shared" si="24"/>
        <v>0</v>
      </c>
      <c r="CM28" s="211">
        <f t="shared" si="24"/>
        <v>0</v>
      </c>
      <c r="CN28" s="211">
        <f t="shared" si="24"/>
        <v>0</v>
      </c>
      <c r="CO28" s="211">
        <f t="shared" si="24"/>
        <v>0</v>
      </c>
      <c r="CP28" s="211">
        <f t="shared" si="24"/>
        <v>0</v>
      </c>
      <c r="CQ28" s="211">
        <f t="shared" si="24"/>
        <v>0</v>
      </c>
      <c r="CR28" s="211">
        <f t="shared" si="25"/>
        <v>0</v>
      </c>
      <c r="CS28" s="211">
        <f t="shared" si="25"/>
        <v>0</v>
      </c>
      <c r="CT28" s="211">
        <f t="shared" si="25"/>
        <v>0</v>
      </c>
      <c r="CU28" s="211">
        <f t="shared" si="25"/>
        <v>0</v>
      </c>
      <c r="CV28" s="211">
        <f t="shared" si="25"/>
        <v>0</v>
      </c>
      <c r="CW28" s="211">
        <f t="shared" si="25"/>
        <v>0</v>
      </c>
      <c r="CX28" s="211">
        <f t="shared" si="25"/>
        <v>0</v>
      </c>
      <c r="CY28" s="211">
        <f t="shared" si="25"/>
        <v>0</v>
      </c>
      <c r="CZ28" s="211">
        <f t="shared" si="25"/>
        <v>0</v>
      </c>
      <c r="DA28" s="211">
        <f t="shared" si="25"/>
        <v>0</v>
      </c>
    </row>
    <row r="29" spans="1:105">
      <c r="A29" s="202" t="str">
        <f>Income!A76</f>
        <v>Animals sold</v>
      </c>
      <c r="B29" s="204">
        <f>Income!B76</f>
        <v>711.20000000000016</v>
      </c>
      <c r="C29" s="204">
        <f>Income!C76</f>
        <v>3133.76</v>
      </c>
      <c r="D29" s="204">
        <f>Income!D76</f>
        <v>9520</v>
      </c>
      <c r="E29" s="204">
        <f>Income!E76</f>
        <v>24333.120000000003</v>
      </c>
      <c r="F29" s="211">
        <f t="shared" si="16"/>
        <v>711.20000000000016</v>
      </c>
      <c r="G29" s="211">
        <f t="shared" si="16"/>
        <v>711.20000000000016</v>
      </c>
      <c r="H29" s="211">
        <f t="shared" si="16"/>
        <v>711.20000000000016</v>
      </c>
      <c r="I29" s="211">
        <f t="shared" si="16"/>
        <v>711.20000000000016</v>
      </c>
      <c r="J29" s="211">
        <f t="shared" si="16"/>
        <v>711.20000000000016</v>
      </c>
      <c r="K29" s="211">
        <f t="shared" si="16"/>
        <v>711.20000000000016</v>
      </c>
      <c r="L29" s="211">
        <f t="shared" si="16"/>
        <v>711.20000000000016</v>
      </c>
      <c r="M29" s="211">
        <f t="shared" si="16"/>
        <v>711.20000000000016</v>
      </c>
      <c r="N29" s="211">
        <f t="shared" si="16"/>
        <v>711.20000000000016</v>
      </c>
      <c r="O29" s="211">
        <f t="shared" si="16"/>
        <v>711.20000000000016</v>
      </c>
      <c r="P29" s="211">
        <f t="shared" si="17"/>
        <v>711.20000000000016</v>
      </c>
      <c r="Q29" s="211">
        <f t="shared" si="17"/>
        <v>711.20000000000016</v>
      </c>
      <c r="R29" s="211">
        <f t="shared" si="17"/>
        <v>711.20000000000016</v>
      </c>
      <c r="S29" s="211">
        <f t="shared" si="17"/>
        <v>711.20000000000016</v>
      </c>
      <c r="T29" s="211">
        <f t="shared" si="17"/>
        <v>711.20000000000016</v>
      </c>
      <c r="U29" s="211">
        <f t="shared" si="17"/>
        <v>711.20000000000016</v>
      </c>
      <c r="V29" s="211">
        <f t="shared" si="17"/>
        <v>711.20000000000016</v>
      </c>
      <c r="W29" s="211">
        <f t="shared" si="17"/>
        <v>711.20000000000016</v>
      </c>
      <c r="X29" s="211">
        <f t="shared" si="17"/>
        <v>711.20000000000016</v>
      </c>
      <c r="Y29" s="211">
        <f t="shared" si="17"/>
        <v>711.20000000000016</v>
      </c>
      <c r="Z29" s="211">
        <f t="shared" si="18"/>
        <v>711.20000000000016</v>
      </c>
      <c r="AA29" s="211">
        <f t="shared" si="18"/>
        <v>711.20000000000016</v>
      </c>
      <c r="AB29" s="211">
        <f t="shared" si="18"/>
        <v>711.20000000000016</v>
      </c>
      <c r="AC29" s="211">
        <f t="shared" si="18"/>
        <v>711.20000000000016</v>
      </c>
      <c r="AD29" s="211">
        <f t="shared" si="18"/>
        <v>711.20000000000016</v>
      </c>
      <c r="AE29" s="211">
        <f t="shared" si="18"/>
        <v>760.6400000000001</v>
      </c>
      <c r="AF29" s="211">
        <f t="shared" si="18"/>
        <v>859.52000000000021</v>
      </c>
      <c r="AG29" s="211">
        <f t="shared" si="18"/>
        <v>958.40000000000009</v>
      </c>
      <c r="AH29" s="211">
        <f t="shared" si="18"/>
        <v>1057.2800000000002</v>
      </c>
      <c r="AI29" s="211">
        <f t="shared" si="18"/>
        <v>1156.1600000000003</v>
      </c>
      <c r="AJ29" s="211">
        <f t="shared" si="19"/>
        <v>1255.0400000000002</v>
      </c>
      <c r="AK29" s="211">
        <f t="shared" si="19"/>
        <v>1353.92</v>
      </c>
      <c r="AL29" s="211">
        <f t="shared" si="19"/>
        <v>1452.8000000000002</v>
      </c>
      <c r="AM29" s="211">
        <f t="shared" si="19"/>
        <v>1551.68</v>
      </c>
      <c r="AN29" s="211">
        <f t="shared" si="19"/>
        <v>1650.5600000000002</v>
      </c>
      <c r="AO29" s="211">
        <f t="shared" si="19"/>
        <v>1749.44</v>
      </c>
      <c r="AP29" s="211">
        <f t="shared" si="19"/>
        <v>1848.3200000000002</v>
      </c>
      <c r="AQ29" s="211">
        <f t="shared" si="19"/>
        <v>1947.2000000000003</v>
      </c>
      <c r="AR29" s="211">
        <f t="shared" si="19"/>
        <v>2046.08</v>
      </c>
      <c r="AS29" s="211">
        <f t="shared" si="19"/>
        <v>2144.9600000000005</v>
      </c>
      <c r="AT29" s="211">
        <f t="shared" si="20"/>
        <v>2243.84</v>
      </c>
      <c r="AU29" s="211">
        <f t="shared" si="20"/>
        <v>2342.7200000000003</v>
      </c>
      <c r="AV29" s="211">
        <f t="shared" si="20"/>
        <v>2441.6</v>
      </c>
      <c r="AW29" s="211">
        <f t="shared" si="20"/>
        <v>2540.48</v>
      </c>
      <c r="AX29" s="211">
        <f t="shared" si="20"/>
        <v>2639.36</v>
      </c>
      <c r="AY29" s="211">
        <f t="shared" si="20"/>
        <v>2738.24</v>
      </c>
      <c r="AZ29" s="211">
        <f t="shared" si="20"/>
        <v>2837.1200000000003</v>
      </c>
      <c r="BA29" s="211">
        <f t="shared" si="20"/>
        <v>2936</v>
      </c>
      <c r="BB29" s="211">
        <f t="shared" si="20"/>
        <v>3034.88</v>
      </c>
      <c r="BC29" s="211">
        <f t="shared" si="20"/>
        <v>3133.76</v>
      </c>
      <c r="BD29" s="211">
        <f t="shared" si="21"/>
        <v>24333.120000000003</v>
      </c>
      <c r="BE29" s="211">
        <f t="shared" si="21"/>
        <v>24333.120000000003</v>
      </c>
      <c r="BF29" s="211">
        <f t="shared" si="21"/>
        <v>24333.120000000003</v>
      </c>
      <c r="BG29" s="211">
        <f t="shared" si="21"/>
        <v>24333.120000000003</v>
      </c>
      <c r="BH29" s="211">
        <f t="shared" si="21"/>
        <v>24333.120000000003</v>
      </c>
      <c r="BI29" s="211">
        <f t="shared" si="21"/>
        <v>24333.120000000003</v>
      </c>
      <c r="BJ29" s="211">
        <f t="shared" si="21"/>
        <v>24333.120000000003</v>
      </c>
      <c r="BK29" s="211">
        <f t="shared" si="21"/>
        <v>24333.120000000003</v>
      </c>
      <c r="BL29" s="211">
        <f t="shared" si="21"/>
        <v>24333.120000000003</v>
      </c>
      <c r="BM29" s="211">
        <f t="shared" si="21"/>
        <v>24333.120000000003</v>
      </c>
      <c r="BN29" s="211">
        <f t="shared" si="22"/>
        <v>24333.120000000003</v>
      </c>
      <c r="BO29" s="211">
        <f t="shared" si="22"/>
        <v>24333.120000000003</v>
      </c>
      <c r="BP29" s="211">
        <f t="shared" si="22"/>
        <v>24333.120000000003</v>
      </c>
      <c r="BQ29" s="211">
        <f t="shared" si="22"/>
        <v>24333.120000000003</v>
      </c>
      <c r="BR29" s="211">
        <f t="shared" si="22"/>
        <v>24333.120000000003</v>
      </c>
      <c r="BS29" s="211">
        <f t="shared" si="22"/>
        <v>24333.120000000003</v>
      </c>
      <c r="BT29" s="211">
        <f t="shared" si="22"/>
        <v>24333.120000000003</v>
      </c>
      <c r="BU29" s="211">
        <f t="shared" si="22"/>
        <v>24333.120000000003</v>
      </c>
      <c r="BV29" s="211">
        <f t="shared" si="22"/>
        <v>24333.120000000003</v>
      </c>
      <c r="BW29" s="211">
        <f t="shared" si="22"/>
        <v>24333.120000000003</v>
      </c>
      <c r="BX29" s="211">
        <f t="shared" si="23"/>
        <v>24333.120000000003</v>
      </c>
      <c r="BY29" s="211">
        <f t="shared" si="23"/>
        <v>24333.120000000003</v>
      </c>
      <c r="BZ29" s="211">
        <f t="shared" si="23"/>
        <v>24333.120000000003</v>
      </c>
      <c r="CA29" s="211">
        <f t="shared" si="23"/>
        <v>24333.120000000003</v>
      </c>
      <c r="CB29" s="211">
        <f t="shared" si="23"/>
        <v>24333.120000000003</v>
      </c>
      <c r="CC29" s="211">
        <f t="shared" si="23"/>
        <v>24333.120000000003</v>
      </c>
      <c r="CD29" s="211">
        <f t="shared" si="23"/>
        <v>24333.120000000003</v>
      </c>
      <c r="CE29" s="211">
        <f t="shared" si="23"/>
        <v>24333.120000000003</v>
      </c>
      <c r="CF29" s="211">
        <f t="shared" si="23"/>
        <v>24333.120000000003</v>
      </c>
      <c r="CG29" s="211">
        <f t="shared" si="23"/>
        <v>24333.120000000003</v>
      </c>
      <c r="CH29" s="211">
        <f t="shared" si="24"/>
        <v>24333.120000000003</v>
      </c>
      <c r="CI29" s="211">
        <f t="shared" si="24"/>
        <v>24333.120000000003</v>
      </c>
      <c r="CJ29" s="211">
        <f t="shared" si="24"/>
        <v>24333.120000000003</v>
      </c>
      <c r="CK29" s="211">
        <f t="shared" si="24"/>
        <v>24333.120000000003</v>
      </c>
      <c r="CL29" s="211">
        <f t="shared" si="24"/>
        <v>24333.120000000003</v>
      </c>
      <c r="CM29" s="211">
        <f t="shared" si="24"/>
        <v>24333.120000000003</v>
      </c>
      <c r="CN29" s="211">
        <f t="shared" si="24"/>
        <v>24333.120000000003</v>
      </c>
      <c r="CO29" s="211">
        <f t="shared" si="24"/>
        <v>24333.120000000003</v>
      </c>
      <c r="CP29" s="211">
        <f t="shared" si="24"/>
        <v>24333.120000000003</v>
      </c>
      <c r="CQ29" s="211">
        <f t="shared" si="24"/>
        <v>24333.120000000003</v>
      </c>
      <c r="CR29" s="211">
        <f t="shared" si="25"/>
        <v>24333.120000000003</v>
      </c>
      <c r="CS29" s="211">
        <f t="shared" si="25"/>
        <v>24333.120000000003</v>
      </c>
      <c r="CT29" s="211">
        <f t="shared" si="25"/>
        <v>24333.120000000003</v>
      </c>
      <c r="CU29" s="211">
        <f t="shared" si="25"/>
        <v>24333.120000000003</v>
      </c>
      <c r="CV29" s="211">
        <f t="shared" si="25"/>
        <v>24333.120000000003</v>
      </c>
      <c r="CW29" s="211">
        <f t="shared" si="25"/>
        <v>24333.120000000003</v>
      </c>
      <c r="CX29" s="211">
        <f t="shared" si="25"/>
        <v>24333.120000000003</v>
      </c>
      <c r="CY29" s="211">
        <f t="shared" si="25"/>
        <v>24333.120000000003</v>
      </c>
      <c r="CZ29" s="211">
        <f t="shared" si="25"/>
        <v>24333.120000000003</v>
      </c>
      <c r="DA29" s="211">
        <f t="shared" si="25"/>
        <v>24333.120000000003</v>
      </c>
    </row>
    <row r="30" spans="1:105">
      <c r="A30" s="202" t="str">
        <f>Income!A77</f>
        <v>Wild foods consumed and sold</v>
      </c>
      <c r="B30" s="204">
        <f>Income!B77</f>
        <v>716.80000000000007</v>
      </c>
      <c r="C30" s="204">
        <f>Income!C77</f>
        <v>716.80000000000007</v>
      </c>
      <c r="D30" s="204">
        <f>Income!D77</f>
        <v>0</v>
      </c>
      <c r="E30" s="204">
        <f>Income!E77</f>
        <v>0</v>
      </c>
      <c r="F30" s="211">
        <f t="shared" si="16"/>
        <v>716.80000000000007</v>
      </c>
      <c r="G30" s="211">
        <f t="shared" si="16"/>
        <v>716.80000000000007</v>
      </c>
      <c r="H30" s="211">
        <f t="shared" si="16"/>
        <v>716.80000000000007</v>
      </c>
      <c r="I30" s="211">
        <f t="shared" si="16"/>
        <v>716.80000000000007</v>
      </c>
      <c r="J30" s="211">
        <f t="shared" si="16"/>
        <v>716.80000000000007</v>
      </c>
      <c r="K30" s="211">
        <f t="shared" si="16"/>
        <v>716.80000000000007</v>
      </c>
      <c r="L30" s="211">
        <f t="shared" si="16"/>
        <v>716.80000000000007</v>
      </c>
      <c r="M30" s="211">
        <f t="shared" si="16"/>
        <v>716.80000000000007</v>
      </c>
      <c r="N30" s="211">
        <f t="shared" si="16"/>
        <v>716.80000000000007</v>
      </c>
      <c r="O30" s="211">
        <f t="shared" si="16"/>
        <v>716.80000000000007</v>
      </c>
      <c r="P30" s="211">
        <f t="shared" si="17"/>
        <v>716.80000000000007</v>
      </c>
      <c r="Q30" s="211">
        <f t="shared" si="17"/>
        <v>716.80000000000007</v>
      </c>
      <c r="R30" s="211">
        <f t="shared" si="17"/>
        <v>716.80000000000007</v>
      </c>
      <c r="S30" s="211">
        <f t="shared" si="17"/>
        <v>716.80000000000007</v>
      </c>
      <c r="T30" s="211">
        <f t="shared" si="17"/>
        <v>716.80000000000007</v>
      </c>
      <c r="U30" s="211">
        <f t="shared" si="17"/>
        <v>716.80000000000007</v>
      </c>
      <c r="V30" s="211">
        <f t="shared" si="17"/>
        <v>716.80000000000007</v>
      </c>
      <c r="W30" s="211">
        <f t="shared" si="17"/>
        <v>716.80000000000007</v>
      </c>
      <c r="X30" s="211">
        <f t="shared" si="17"/>
        <v>716.80000000000007</v>
      </c>
      <c r="Y30" s="211">
        <f t="shared" si="17"/>
        <v>716.80000000000007</v>
      </c>
      <c r="Z30" s="211">
        <f t="shared" si="18"/>
        <v>716.80000000000007</v>
      </c>
      <c r="AA30" s="211">
        <f t="shared" si="18"/>
        <v>716.80000000000007</v>
      </c>
      <c r="AB30" s="211">
        <f t="shared" si="18"/>
        <v>716.80000000000007</v>
      </c>
      <c r="AC30" s="211">
        <f t="shared" si="18"/>
        <v>716.80000000000007</v>
      </c>
      <c r="AD30" s="211">
        <f t="shared" si="18"/>
        <v>716.80000000000007</v>
      </c>
      <c r="AE30" s="211">
        <f t="shared" si="18"/>
        <v>716.80000000000007</v>
      </c>
      <c r="AF30" s="211">
        <f t="shared" si="18"/>
        <v>716.80000000000007</v>
      </c>
      <c r="AG30" s="211">
        <f t="shared" si="18"/>
        <v>716.80000000000007</v>
      </c>
      <c r="AH30" s="211">
        <f t="shared" si="18"/>
        <v>716.80000000000007</v>
      </c>
      <c r="AI30" s="211">
        <f t="shared" si="18"/>
        <v>716.80000000000007</v>
      </c>
      <c r="AJ30" s="211">
        <f t="shared" si="19"/>
        <v>716.80000000000007</v>
      </c>
      <c r="AK30" s="211">
        <f t="shared" si="19"/>
        <v>716.80000000000007</v>
      </c>
      <c r="AL30" s="211">
        <f t="shared" si="19"/>
        <v>716.80000000000007</v>
      </c>
      <c r="AM30" s="211">
        <f t="shared" si="19"/>
        <v>716.80000000000007</v>
      </c>
      <c r="AN30" s="211">
        <f t="shared" si="19"/>
        <v>716.80000000000007</v>
      </c>
      <c r="AO30" s="211">
        <f t="shared" si="19"/>
        <v>716.80000000000007</v>
      </c>
      <c r="AP30" s="211">
        <f t="shared" si="19"/>
        <v>716.80000000000007</v>
      </c>
      <c r="AQ30" s="211">
        <f t="shared" si="19"/>
        <v>716.80000000000007</v>
      </c>
      <c r="AR30" s="211">
        <f t="shared" si="19"/>
        <v>716.80000000000007</v>
      </c>
      <c r="AS30" s="211">
        <f t="shared" si="19"/>
        <v>716.80000000000007</v>
      </c>
      <c r="AT30" s="211">
        <f t="shared" si="20"/>
        <v>716.80000000000007</v>
      </c>
      <c r="AU30" s="211">
        <f t="shared" si="20"/>
        <v>716.80000000000007</v>
      </c>
      <c r="AV30" s="211">
        <f t="shared" si="20"/>
        <v>716.80000000000007</v>
      </c>
      <c r="AW30" s="211">
        <f t="shared" si="20"/>
        <v>716.80000000000007</v>
      </c>
      <c r="AX30" s="211">
        <f t="shared" si="20"/>
        <v>716.80000000000007</v>
      </c>
      <c r="AY30" s="211">
        <f t="shared" si="20"/>
        <v>716.80000000000007</v>
      </c>
      <c r="AZ30" s="211">
        <f t="shared" si="20"/>
        <v>716.80000000000007</v>
      </c>
      <c r="BA30" s="211">
        <f t="shared" si="20"/>
        <v>716.80000000000007</v>
      </c>
      <c r="BB30" s="211">
        <f t="shared" si="20"/>
        <v>716.80000000000007</v>
      </c>
      <c r="BC30" s="211">
        <f t="shared" si="20"/>
        <v>716.80000000000007</v>
      </c>
      <c r="BD30" s="211">
        <f t="shared" si="21"/>
        <v>0</v>
      </c>
      <c r="BE30" s="211">
        <f t="shared" si="21"/>
        <v>0</v>
      </c>
      <c r="BF30" s="211">
        <f t="shared" si="21"/>
        <v>0</v>
      </c>
      <c r="BG30" s="211">
        <f t="shared" si="21"/>
        <v>0</v>
      </c>
      <c r="BH30" s="211">
        <f t="shared" si="21"/>
        <v>0</v>
      </c>
      <c r="BI30" s="211">
        <f t="shared" si="21"/>
        <v>0</v>
      </c>
      <c r="BJ30" s="211">
        <f t="shared" si="21"/>
        <v>0</v>
      </c>
      <c r="BK30" s="211">
        <f t="shared" si="21"/>
        <v>0</v>
      </c>
      <c r="BL30" s="211">
        <f t="shared" si="21"/>
        <v>0</v>
      </c>
      <c r="BM30" s="211">
        <f t="shared" si="21"/>
        <v>0</v>
      </c>
      <c r="BN30" s="211">
        <f t="shared" si="22"/>
        <v>0</v>
      </c>
      <c r="BO30" s="211">
        <f t="shared" si="22"/>
        <v>0</v>
      </c>
      <c r="BP30" s="211">
        <f t="shared" si="22"/>
        <v>0</v>
      </c>
      <c r="BQ30" s="211">
        <f t="shared" si="22"/>
        <v>0</v>
      </c>
      <c r="BR30" s="211">
        <f t="shared" si="22"/>
        <v>0</v>
      </c>
      <c r="BS30" s="211">
        <f t="shared" si="22"/>
        <v>0</v>
      </c>
      <c r="BT30" s="211">
        <f t="shared" si="22"/>
        <v>0</v>
      </c>
      <c r="BU30" s="211">
        <f t="shared" si="22"/>
        <v>0</v>
      </c>
      <c r="BV30" s="211">
        <f t="shared" si="22"/>
        <v>0</v>
      </c>
      <c r="BW30" s="211">
        <f t="shared" si="22"/>
        <v>0</v>
      </c>
      <c r="BX30" s="211">
        <f t="shared" si="23"/>
        <v>0</v>
      </c>
      <c r="BY30" s="211">
        <f t="shared" si="23"/>
        <v>0</v>
      </c>
      <c r="BZ30" s="211">
        <f t="shared" si="23"/>
        <v>0</v>
      </c>
      <c r="CA30" s="211">
        <f t="shared" si="23"/>
        <v>0</v>
      </c>
      <c r="CB30" s="211">
        <f t="shared" si="23"/>
        <v>0</v>
      </c>
      <c r="CC30" s="211">
        <f t="shared" si="23"/>
        <v>0</v>
      </c>
      <c r="CD30" s="211">
        <f t="shared" si="23"/>
        <v>0</v>
      </c>
      <c r="CE30" s="211">
        <f t="shared" si="23"/>
        <v>0</v>
      </c>
      <c r="CF30" s="211">
        <f t="shared" si="23"/>
        <v>0</v>
      </c>
      <c r="CG30" s="211">
        <f t="shared" si="23"/>
        <v>0</v>
      </c>
      <c r="CH30" s="211">
        <f t="shared" si="24"/>
        <v>0</v>
      </c>
      <c r="CI30" s="211">
        <f t="shared" si="24"/>
        <v>0</v>
      </c>
      <c r="CJ30" s="211">
        <f t="shared" si="24"/>
        <v>0</v>
      </c>
      <c r="CK30" s="211">
        <f t="shared" si="24"/>
        <v>0</v>
      </c>
      <c r="CL30" s="211">
        <f t="shared" si="24"/>
        <v>0</v>
      </c>
      <c r="CM30" s="211">
        <f t="shared" si="24"/>
        <v>0</v>
      </c>
      <c r="CN30" s="211">
        <f t="shared" si="24"/>
        <v>0</v>
      </c>
      <c r="CO30" s="211">
        <f t="shared" si="24"/>
        <v>0</v>
      </c>
      <c r="CP30" s="211">
        <f t="shared" si="24"/>
        <v>0</v>
      </c>
      <c r="CQ30" s="211">
        <f t="shared" si="24"/>
        <v>0</v>
      </c>
      <c r="CR30" s="211">
        <f t="shared" si="25"/>
        <v>0</v>
      </c>
      <c r="CS30" s="211">
        <f t="shared" si="25"/>
        <v>0</v>
      </c>
      <c r="CT30" s="211">
        <f t="shared" si="25"/>
        <v>0</v>
      </c>
      <c r="CU30" s="211">
        <f t="shared" si="25"/>
        <v>0</v>
      </c>
      <c r="CV30" s="211">
        <f t="shared" si="25"/>
        <v>0</v>
      </c>
      <c r="CW30" s="211">
        <f t="shared" si="25"/>
        <v>0</v>
      </c>
      <c r="CX30" s="211">
        <f t="shared" si="25"/>
        <v>0</v>
      </c>
      <c r="CY30" s="211">
        <f t="shared" si="25"/>
        <v>0</v>
      </c>
      <c r="CZ30" s="211">
        <f t="shared" si="25"/>
        <v>0</v>
      </c>
      <c r="DA30" s="211">
        <f t="shared" si="25"/>
        <v>0</v>
      </c>
    </row>
    <row r="31" spans="1:105">
      <c r="A31" s="202" t="str">
        <f>Income!A78</f>
        <v>Labour - casual</v>
      </c>
      <c r="B31" s="204">
        <f>Income!B78</f>
        <v>6731.2000000000007</v>
      </c>
      <c r="C31" s="204">
        <f>Income!C78</f>
        <v>13496.000000000002</v>
      </c>
      <c r="D31" s="204">
        <f>Income!D78</f>
        <v>1323.9328788663345</v>
      </c>
      <c r="E31" s="204">
        <f>Income!E78</f>
        <v>0</v>
      </c>
      <c r="F31" s="211">
        <f t="shared" si="16"/>
        <v>6731.2000000000007</v>
      </c>
      <c r="G31" s="211">
        <f t="shared" si="16"/>
        <v>6731.2000000000007</v>
      </c>
      <c r="H31" s="211">
        <f t="shared" si="16"/>
        <v>6731.2000000000007</v>
      </c>
      <c r="I31" s="211">
        <f t="shared" si="16"/>
        <v>6731.2000000000007</v>
      </c>
      <c r="J31" s="211">
        <f t="shared" si="16"/>
        <v>6731.2000000000007</v>
      </c>
      <c r="K31" s="211">
        <f t="shared" si="16"/>
        <v>6731.2000000000007</v>
      </c>
      <c r="L31" s="211">
        <f t="shared" si="16"/>
        <v>6731.2000000000007</v>
      </c>
      <c r="M31" s="211">
        <f t="shared" si="16"/>
        <v>6731.2000000000007</v>
      </c>
      <c r="N31" s="211">
        <f t="shared" si="16"/>
        <v>6731.2000000000007</v>
      </c>
      <c r="O31" s="211">
        <f t="shared" si="16"/>
        <v>6731.2000000000007</v>
      </c>
      <c r="P31" s="211">
        <f t="shared" si="17"/>
        <v>6731.2000000000007</v>
      </c>
      <c r="Q31" s="211">
        <f t="shared" si="17"/>
        <v>6731.2000000000007</v>
      </c>
      <c r="R31" s="211">
        <f t="shared" si="17"/>
        <v>6731.2000000000007</v>
      </c>
      <c r="S31" s="211">
        <f t="shared" si="17"/>
        <v>6731.2000000000007</v>
      </c>
      <c r="T31" s="211">
        <f t="shared" si="17"/>
        <v>6731.2000000000007</v>
      </c>
      <c r="U31" s="211">
        <f t="shared" si="17"/>
        <v>6731.2000000000007</v>
      </c>
      <c r="V31" s="211">
        <f t="shared" si="17"/>
        <v>6731.2000000000007</v>
      </c>
      <c r="W31" s="211">
        <f t="shared" si="17"/>
        <v>6731.2000000000007</v>
      </c>
      <c r="X31" s="211">
        <f t="shared" si="17"/>
        <v>6731.2000000000007</v>
      </c>
      <c r="Y31" s="211">
        <f t="shared" si="17"/>
        <v>6731.2000000000007</v>
      </c>
      <c r="Z31" s="211">
        <f t="shared" si="18"/>
        <v>6731.2000000000007</v>
      </c>
      <c r="AA31" s="211">
        <f t="shared" si="18"/>
        <v>6731.2000000000007</v>
      </c>
      <c r="AB31" s="211">
        <f t="shared" si="18"/>
        <v>6731.2000000000007</v>
      </c>
      <c r="AC31" s="211">
        <f t="shared" si="18"/>
        <v>6731.2000000000007</v>
      </c>
      <c r="AD31" s="211">
        <f t="shared" si="18"/>
        <v>6731.2000000000007</v>
      </c>
      <c r="AE31" s="211">
        <f t="shared" si="18"/>
        <v>6869.2571428571437</v>
      </c>
      <c r="AF31" s="211">
        <f t="shared" si="18"/>
        <v>7145.3714285714295</v>
      </c>
      <c r="AG31" s="211">
        <f t="shared" si="18"/>
        <v>7421.4857142857154</v>
      </c>
      <c r="AH31" s="211">
        <f t="shared" si="18"/>
        <v>7697.6</v>
      </c>
      <c r="AI31" s="211">
        <f t="shared" si="18"/>
        <v>7973.7142857142862</v>
      </c>
      <c r="AJ31" s="211">
        <f t="shared" si="19"/>
        <v>8249.8285714285721</v>
      </c>
      <c r="AK31" s="211">
        <f t="shared" si="19"/>
        <v>8525.942857142858</v>
      </c>
      <c r="AL31" s="211">
        <f t="shared" si="19"/>
        <v>8802.0571428571438</v>
      </c>
      <c r="AM31" s="211">
        <f t="shared" si="19"/>
        <v>9078.1714285714297</v>
      </c>
      <c r="AN31" s="211">
        <f t="shared" si="19"/>
        <v>9354.2857142857156</v>
      </c>
      <c r="AO31" s="211">
        <f t="shared" si="19"/>
        <v>9630.4000000000015</v>
      </c>
      <c r="AP31" s="211">
        <f t="shared" si="19"/>
        <v>9906.5142857142873</v>
      </c>
      <c r="AQ31" s="211">
        <f t="shared" si="19"/>
        <v>10182.628571428573</v>
      </c>
      <c r="AR31" s="211">
        <f t="shared" si="19"/>
        <v>10458.742857142859</v>
      </c>
      <c r="AS31" s="211">
        <f t="shared" si="19"/>
        <v>10734.857142857145</v>
      </c>
      <c r="AT31" s="211">
        <f t="shared" si="20"/>
        <v>11010.971428571429</v>
      </c>
      <c r="AU31" s="211">
        <f t="shared" si="20"/>
        <v>11287.085714285717</v>
      </c>
      <c r="AV31" s="211">
        <f t="shared" si="20"/>
        <v>11563.2</v>
      </c>
      <c r="AW31" s="211">
        <f t="shared" si="20"/>
        <v>11839.314285714288</v>
      </c>
      <c r="AX31" s="211">
        <f t="shared" si="20"/>
        <v>12115.428571428572</v>
      </c>
      <c r="AY31" s="211">
        <f t="shared" si="20"/>
        <v>12391.54285714286</v>
      </c>
      <c r="AZ31" s="211">
        <f t="shared" si="20"/>
        <v>12667.657142857144</v>
      </c>
      <c r="BA31" s="211">
        <f t="shared" si="20"/>
        <v>12943.77142857143</v>
      </c>
      <c r="BB31" s="211">
        <f t="shared" si="20"/>
        <v>13219.885714285716</v>
      </c>
      <c r="BC31" s="211">
        <f t="shared" si="20"/>
        <v>13496.000000000002</v>
      </c>
      <c r="BD31" s="211">
        <f t="shared" si="21"/>
        <v>0</v>
      </c>
      <c r="BE31" s="211">
        <f t="shared" si="21"/>
        <v>0</v>
      </c>
      <c r="BF31" s="211">
        <f t="shared" si="21"/>
        <v>0</v>
      </c>
      <c r="BG31" s="211">
        <f t="shared" si="21"/>
        <v>0</v>
      </c>
      <c r="BH31" s="211">
        <f t="shared" si="21"/>
        <v>0</v>
      </c>
      <c r="BI31" s="211">
        <f t="shared" si="21"/>
        <v>0</v>
      </c>
      <c r="BJ31" s="211">
        <f t="shared" si="21"/>
        <v>0</v>
      </c>
      <c r="BK31" s="211">
        <f t="shared" si="21"/>
        <v>0</v>
      </c>
      <c r="BL31" s="211">
        <f t="shared" si="21"/>
        <v>0</v>
      </c>
      <c r="BM31" s="211">
        <f t="shared" si="21"/>
        <v>0</v>
      </c>
      <c r="BN31" s="211">
        <f t="shared" si="22"/>
        <v>0</v>
      </c>
      <c r="BO31" s="211">
        <f t="shared" si="22"/>
        <v>0</v>
      </c>
      <c r="BP31" s="211">
        <f t="shared" si="22"/>
        <v>0</v>
      </c>
      <c r="BQ31" s="211">
        <f t="shared" si="22"/>
        <v>0</v>
      </c>
      <c r="BR31" s="211">
        <f t="shared" si="22"/>
        <v>0</v>
      </c>
      <c r="BS31" s="211">
        <f t="shared" si="22"/>
        <v>0</v>
      </c>
      <c r="BT31" s="211">
        <f t="shared" si="22"/>
        <v>0</v>
      </c>
      <c r="BU31" s="211">
        <f t="shared" si="22"/>
        <v>0</v>
      </c>
      <c r="BV31" s="211">
        <f t="shared" si="22"/>
        <v>0</v>
      </c>
      <c r="BW31" s="211">
        <f t="shared" si="22"/>
        <v>0</v>
      </c>
      <c r="BX31" s="211">
        <f t="shared" si="23"/>
        <v>0</v>
      </c>
      <c r="BY31" s="211">
        <f t="shared" si="23"/>
        <v>0</v>
      </c>
      <c r="BZ31" s="211">
        <f t="shared" si="23"/>
        <v>0</v>
      </c>
      <c r="CA31" s="211">
        <f t="shared" si="23"/>
        <v>0</v>
      </c>
      <c r="CB31" s="211">
        <f t="shared" si="23"/>
        <v>0</v>
      </c>
      <c r="CC31" s="211">
        <f t="shared" si="23"/>
        <v>0</v>
      </c>
      <c r="CD31" s="211">
        <f t="shared" si="23"/>
        <v>0</v>
      </c>
      <c r="CE31" s="211">
        <f t="shared" si="23"/>
        <v>0</v>
      </c>
      <c r="CF31" s="211">
        <f t="shared" si="23"/>
        <v>0</v>
      </c>
      <c r="CG31" s="211">
        <f t="shared" si="23"/>
        <v>0</v>
      </c>
      <c r="CH31" s="211">
        <f t="shared" si="24"/>
        <v>0</v>
      </c>
      <c r="CI31" s="211">
        <f t="shared" si="24"/>
        <v>0</v>
      </c>
      <c r="CJ31" s="211">
        <f t="shared" si="24"/>
        <v>0</v>
      </c>
      <c r="CK31" s="211">
        <f t="shared" si="24"/>
        <v>0</v>
      </c>
      <c r="CL31" s="211">
        <f t="shared" si="24"/>
        <v>0</v>
      </c>
      <c r="CM31" s="211">
        <f t="shared" si="24"/>
        <v>0</v>
      </c>
      <c r="CN31" s="211">
        <f t="shared" si="24"/>
        <v>0</v>
      </c>
      <c r="CO31" s="211">
        <f t="shared" si="24"/>
        <v>0</v>
      </c>
      <c r="CP31" s="211">
        <f t="shared" si="24"/>
        <v>0</v>
      </c>
      <c r="CQ31" s="211">
        <f t="shared" si="24"/>
        <v>0</v>
      </c>
      <c r="CR31" s="211">
        <f t="shared" si="25"/>
        <v>0</v>
      </c>
      <c r="CS31" s="211">
        <f t="shared" si="25"/>
        <v>0</v>
      </c>
      <c r="CT31" s="211">
        <f t="shared" si="25"/>
        <v>0</v>
      </c>
      <c r="CU31" s="211">
        <f t="shared" si="25"/>
        <v>0</v>
      </c>
      <c r="CV31" s="211">
        <f t="shared" si="25"/>
        <v>0</v>
      </c>
      <c r="CW31" s="211">
        <f t="shared" si="25"/>
        <v>0</v>
      </c>
      <c r="CX31" s="211">
        <f t="shared" si="25"/>
        <v>0</v>
      </c>
      <c r="CY31" s="211">
        <f t="shared" si="25"/>
        <v>0</v>
      </c>
      <c r="CZ31" s="211">
        <f t="shared" si="25"/>
        <v>0</v>
      </c>
      <c r="DA31" s="211">
        <f t="shared" si="25"/>
        <v>0</v>
      </c>
    </row>
    <row r="32" spans="1:105">
      <c r="A32" s="202" t="str">
        <f>Income!A79</f>
        <v>Labour - formal emp</v>
      </c>
      <c r="B32" s="204">
        <f>Income!B79</f>
        <v>0</v>
      </c>
      <c r="C32" s="204">
        <f>Income!C79</f>
        <v>0</v>
      </c>
      <c r="D32" s="204">
        <f>Income!D79</f>
        <v>40320.000000000007</v>
      </c>
      <c r="E32" s="204">
        <f>Income!E79</f>
        <v>274176.00000000006</v>
      </c>
      <c r="F32" s="211">
        <f t="shared" si="16"/>
        <v>0</v>
      </c>
      <c r="G32" s="211">
        <f t="shared" si="16"/>
        <v>0</v>
      </c>
      <c r="H32" s="211">
        <f t="shared" si="16"/>
        <v>0</v>
      </c>
      <c r="I32" s="211">
        <f t="shared" si="16"/>
        <v>0</v>
      </c>
      <c r="J32" s="211">
        <f t="shared" si="16"/>
        <v>0</v>
      </c>
      <c r="K32" s="211">
        <f t="shared" si="16"/>
        <v>0</v>
      </c>
      <c r="L32" s="211">
        <f t="shared" si="16"/>
        <v>0</v>
      </c>
      <c r="M32" s="211">
        <f t="shared" si="16"/>
        <v>0</v>
      </c>
      <c r="N32" s="211">
        <f t="shared" si="16"/>
        <v>0</v>
      </c>
      <c r="O32" s="211">
        <f t="shared" si="16"/>
        <v>0</v>
      </c>
      <c r="P32" s="211">
        <f t="shared" si="17"/>
        <v>0</v>
      </c>
      <c r="Q32" s="211">
        <f t="shared" si="17"/>
        <v>0</v>
      </c>
      <c r="R32" s="211">
        <f t="shared" si="17"/>
        <v>0</v>
      </c>
      <c r="S32" s="211">
        <f t="shared" si="17"/>
        <v>0</v>
      </c>
      <c r="T32" s="211">
        <f t="shared" si="17"/>
        <v>0</v>
      </c>
      <c r="U32" s="211">
        <f t="shared" si="17"/>
        <v>0</v>
      </c>
      <c r="V32" s="211">
        <f t="shared" si="17"/>
        <v>0</v>
      </c>
      <c r="W32" s="211">
        <f t="shared" si="17"/>
        <v>0</v>
      </c>
      <c r="X32" s="211">
        <f t="shared" si="17"/>
        <v>0</v>
      </c>
      <c r="Y32" s="211">
        <f t="shared" si="17"/>
        <v>0</v>
      </c>
      <c r="Z32" s="211">
        <f t="shared" si="18"/>
        <v>0</v>
      </c>
      <c r="AA32" s="211">
        <f t="shared" si="18"/>
        <v>0</v>
      </c>
      <c r="AB32" s="211">
        <f t="shared" si="18"/>
        <v>0</v>
      </c>
      <c r="AC32" s="211">
        <f t="shared" si="18"/>
        <v>0</v>
      </c>
      <c r="AD32" s="211">
        <f t="shared" si="18"/>
        <v>0</v>
      </c>
      <c r="AE32" s="211">
        <f t="shared" si="18"/>
        <v>0</v>
      </c>
      <c r="AF32" s="211">
        <f t="shared" si="18"/>
        <v>0</v>
      </c>
      <c r="AG32" s="211">
        <f t="shared" si="18"/>
        <v>0</v>
      </c>
      <c r="AH32" s="211">
        <f t="shared" si="18"/>
        <v>0</v>
      </c>
      <c r="AI32" s="211">
        <f t="shared" si="18"/>
        <v>0</v>
      </c>
      <c r="AJ32" s="211">
        <f t="shared" si="19"/>
        <v>0</v>
      </c>
      <c r="AK32" s="211">
        <f t="shared" si="19"/>
        <v>0</v>
      </c>
      <c r="AL32" s="211">
        <f t="shared" si="19"/>
        <v>0</v>
      </c>
      <c r="AM32" s="211">
        <f t="shared" si="19"/>
        <v>0</v>
      </c>
      <c r="AN32" s="211">
        <f t="shared" si="19"/>
        <v>0</v>
      </c>
      <c r="AO32" s="211">
        <f t="shared" si="19"/>
        <v>0</v>
      </c>
      <c r="AP32" s="211">
        <f t="shared" si="19"/>
        <v>0</v>
      </c>
      <c r="AQ32" s="211">
        <f t="shared" si="19"/>
        <v>0</v>
      </c>
      <c r="AR32" s="211">
        <f t="shared" si="19"/>
        <v>0</v>
      </c>
      <c r="AS32" s="211">
        <f t="shared" si="19"/>
        <v>0</v>
      </c>
      <c r="AT32" s="211">
        <f t="shared" si="20"/>
        <v>0</v>
      </c>
      <c r="AU32" s="211">
        <f t="shared" si="20"/>
        <v>0</v>
      </c>
      <c r="AV32" s="211">
        <f t="shared" si="20"/>
        <v>0</v>
      </c>
      <c r="AW32" s="211">
        <f t="shared" si="20"/>
        <v>0</v>
      </c>
      <c r="AX32" s="211">
        <f t="shared" si="20"/>
        <v>0</v>
      </c>
      <c r="AY32" s="211">
        <f t="shared" si="20"/>
        <v>0</v>
      </c>
      <c r="AZ32" s="211">
        <f t="shared" si="20"/>
        <v>0</v>
      </c>
      <c r="BA32" s="211">
        <f t="shared" si="20"/>
        <v>0</v>
      </c>
      <c r="BB32" s="211">
        <f t="shared" si="20"/>
        <v>0</v>
      </c>
      <c r="BC32" s="211">
        <f t="shared" si="20"/>
        <v>0</v>
      </c>
      <c r="BD32" s="211">
        <f t="shared" si="21"/>
        <v>274176.00000000006</v>
      </c>
      <c r="BE32" s="211">
        <f t="shared" si="21"/>
        <v>274176.00000000006</v>
      </c>
      <c r="BF32" s="211">
        <f t="shared" si="21"/>
        <v>274176.00000000006</v>
      </c>
      <c r="BG32" s="211">
        <f t="shared" si="21"/>
        <v>274176.00000000006</v>
      </c>
      <c r="BH32" s="211">
        <f t="shared" si="21"/>
        <v>274176.00000000006</v>
      </c>
      <c r="BI32" s="211">
        <f t="shared" si="21"/>
        <v>274176.00000000006</v>
      </c>
      <c r="BJ32" s="211">
        <f t="shared" si="21"/>
        <v>274176.00000000006</v>
      </c>
      <c r="BK32" s="211">
        <f t="shared" si="21"/>
        <v>274176.00000000006</v>
      </c>
      <c r="BL32" s="211">
        <f t="shared" si="21"/>
        <v>274176.00000000006</v>
      </c>
      <c r="BM32" s="211">
        <f t="shared" si="21"/>
        <v>274176.00000000006</v>
      </c>
      <c r="BN32" s="211">
        <f t="shared" si="22"/>
        <v>274176.00000000006</v>
      </c>
      <c r="BO32" s="211">
        <f t="shared" si="22"/>
        <v>274176.00000000006</v>
      </c>
      <c r="BP32" s="211">
        <f t="shared" si="22"/>
        <v>274176.00000000006</v>
      </c>
      <c r="BQ32" s="211">
        <f t="shared" si="22"/>
        <v>274176.00000000006</v>
      </c>
      <c r="BR32" s="211">
        <f t="shared" si="22"/>
        <v>274176.00000000006</v>
      </c>
      <c r="BS32" s="211">
        <f t="shared" si="22"/>
        <v>274176.00000000006</v>
      </c>
      <c r="BT32" s="211">
        <f t="shared" si="22"/>
        <v>274176.00000000006</v>
      </c>
      <c r="BU32" s="211">
        <f t="shared" si="22"/>
        <v>274176.00000000006</v>
      </c>
      <c r="BV32" s="211">
        <f t="shared" si="22"/>
        <v>274176.00000000006</v>
      </c>
      <c r="BW32" s="211">
        <f t="shared" si="22"/>
        <v>274176.00000000006</v>
      </c>
      <c r="BX32" s="211">
        <f t="shared" si="23"/>
        <v>274176.00000000006</v>
      </c>
      <c r="BY32" s="211">
        <f t="shared" si="23"/>
        <v>274176.00000000006</v>
      </c>
      <c r="BZ32" s="211">
        <f t="shared" si="23"/>
        <v>274176.00000000006</v>
      </c>
      <c r="CA32" s="211">
        <f t="shared" si="23"/>
        <v>274176.00000000006</v>
      </c>
      <c r="CB32" s="211">
        <f t="shared" si="23"/>
        <v>274176.00000000006</v>
      </c>
      <c r="CC32" s="211">
        <f t="shared" si="23"/>
        <v>274176.00000000006</v>
      </c>
      <c r="CD32" s="211">
        <f t="shared" si="23"/>
        <v>274176.00000000006</v>
      </c>
      <c r="CE32" s="211">
        <f t="shared" si="23"/>
        <v>274176.00000000006</v>
      </c>
      <c r="CF32" s="211">
        <f t="shared" si="23"/>
        <v>274176.00000000006</v>
      </c>
      <c r="CG32" s="211">
        <f t="shared" si="23"/>
        <v>274176.00000000006</v>
      </c>
      <c r="CH32" s="211">
        <f t="shared" si="24"/>
        <v>274176.00000000006</v>
      </c>
      <c r="CI32" s="211">
        <f t="shared" si="24"/>
        <v>274176.00000000006</v>
      </c>
      <c r="CJ32" s="211">
        <f t="shared" si="24"/>
        <v>274176.00000000006</v>
      </c>
      <c r="CK32" s="211">
        <f t="shared" si="24"/>
        <v>274176.00000000006</v>
      </c>
      <c r="CL32" s="211">
        <f t="shared" si="24"/>
        <v>274176.00000000006</v>
      </c>
      <c r="CM32" s="211">
        <f t="shared" si="24"/>
        <v>274176.00000000006</v>
      </c>
      <c r="CN32" s="211">
        <f t="shared" si="24"/>
        <v>274176.00000000006</v>
      </c>
      <c r="CO32" s="211">
        <f t="shared" si="24"/>
        <v>274176.00000000006</v>
      </c>
      <c r="CP32" s="211">
        <f t="shared" si="24"/>
        <v>274176.00000000006</v>
      </c>
      <c r="CQ32" s="211">
        <f t="shared" si="24"/>
        <v>274176.00000000006</v>
      </c>
      <c r="CR32" s="211">
        <f t="shared" si="25"/>
        <v>274176.00000000006</v>
      </c>
      <c r="CS32" s="211">
        <f t="shared" si="25"/>
        <v>274176.00000000006</v>
      </c>
      <c r="CT32" s="211">
        <f t="shared" si="25"/>
        <v>274176.00000000006</v>
      </c>
      <c r="CU32" s="211">
        <f t="shared" si="25"/>
        <v>274176.00000000006</v>
      </c>
      <c r="CV32" s="211">
        <f t="shared" si="25"/>
        <v>274176.00000000006</v>
      </c>
      <c r="CW32" s="211">
        <f t="shared" si="25"/>
        <v>274176.00000000006</v>
      </c>
      <c r="CX32" s="211">
        <f t="shared" si="25"/>
        <v>274176.00000000006</v>
      </c>
      <c r="CY32" s="211">
        <f t="shared" si="25"/>
        <v>274176.00000000006</v>
      </c>
      <c r="CZ32" s="211">
        <f t="shared" si="25"/>
        <v>274176.00000000006</v>
      </c>
      <c r="DA32" s="211">
        <f t="shared" si="25"/>
        <v>274176.00000000006</v>
      </c>
    </row>
    <row r="33" spans="1:105">
      <c r="A33" s="202" t="str">
        <f>Income!A81</f>
        <v>Self - employment</v>
      </c>
      <c r="B33" s="204">
        <f>Income!B81</f>
        <v>4032.0000000000005</v>
      </c>
      <c r="C33" s="204">
        <f>Income!C81</f>
        <v>4592.0000000000009</v>
      </c>
      <c r="D33" s="204">
        <f>Income!D81</f>
        <v>4032.0000000000005</v>
      </c>
      <c r="E33" s="204">
        <f>Income!E81</f>
        <v>8064.0000000000027</v>
      </c>
      <c r="F33" s="211">
        <f t="shared" si="16"/>
        <v>4032.0000000000005</v>
      </c>
      <c r="G33" s="211">
        <f t="shared" si="16"/>
        <v>4032.0000000000005</v>
      </c>
      <c r="H33" s="211">
        <f t="shared" si="16"/>
        <v>4032.0000000000005</v>
      </c>
      <c r="I33" s="211">
        <f t="shared" si="16"/>
        <v>4032.0000000000005</v>
      </c>
      <c r="J33" s="211">
        <f t="shared" si="16"/>
        <v>4032.0000000000005</v>
      </c>
      <c r="K33" s="211">
        <f t="shared" si="16"/>
        <v>4032.0000000000005</v>
      </c>
      <c r="L33" s="211">
        <f t="shared" si="16"/>
        <v>4032.0000000000005</v>
      </c>
      <c r="M33" s="211">
        <f t="shared" si="16"/>
        <v>4032.0000000000005</v>
      </c>
      <c r="N33" s="211">
        <f t="shared" si="16"/>
        <v>4032.0000000000005</v>
      </c>
      <c r="O33" s="211">
        <f t="shared" si="16"/>
        <v>4032.0000000000005</v>
      </c>
      <c r="P33" s="211">
        <f t="shared" si="17"/>
        <v>4032.0000000000005</v>
      </c>
      <c r="Q33" s="211">
        <f t="shared" si="17"/>
        <v>4032.0000000000005</v>
      </c>
      <c r="R33" s="211">
        <f t="shared" si="17"/>
        <v>4032.0000000000005</v>
      </c>
      <c r="S33" s="211">
        <f t="shared" si="17"/>
        <v>4032.0000000000005</v>
      </c>
      <c r="T33" s="211">
        <f t="shared" si="17"/>
        <v>4032.0000000000005</v>
      </c>
      <c r="U33" s="211">
        <f t="shared" si="17"/>
        <v>4032.0000000000005</v>
      </c>
      <c r="V33" s="211">
        <f t="shared" si="17"/>
        <v>4032.0000000000005</v>
      </c>
      <c r="W33" s="211">
        <f t="shared" si="17"/>
        <v>4032.0000000000005</v>
      </c>
      <c r="X33" s="211">
        <f t="shared" si="17"/>
        <v>4032.0000000000005</v>
      </c>
      <c r="Y33" s="211">
        <f t="shared" si="17"/>
        <v>4032.0000000000005</v>
      </c>
      <c r="Z33" s="211">
        <f t="shared" si="18"/>
        <v>4032.0000000000005</v>
      </c>
      <c r="AA33" s="211">
        <f t="shared" si="18"/>
        <v>4032.0000000000005</v>
      </c>
      <c r="AB33" s="211">
        <f t="shared" si="18"/>
        <v>4032.0000000000005</v>
      </c>
      <c r="AC33" s="211">
        <f t="shared" si="18"/>
        <v>4032.0000000000005</v>
      </c>
      <c r="AD33" s="211">
        <f t="shared" si="18"/>
        <v>4032.0000000000005</v>
      </c>
      <c r="AE33" s="211">
        <f t="shared" si="18"/>
        <v>4043.428571428572</v>
      </c>
      <c r="AF33" s="211">
        <f t="shared" si="18"/>
        <v>4066.2857142857147</v>
      </c>
      <c r="AG33" s="211">
        <f t="shared" si="18"/>
        <v>4089.1428571428578</v>
      </c>
      <c r="AH33" s="211">
        <f t="shared" si="18"/>
        <v>4112.0000000000009</v>
      </c>
      <c r="AI33" s="211">
        <f t="shared" si="18"/>
        <v>4134.8571428571431</v>
      </c>
      <c r="AJ33" s="211">
        <f t="shared" si="19"/>
        <v>4157.7142857142862</v>
      </c>
      <c r="AK33" s="211">
        <f t="shared" si="19"/>
        <v>4180.5714285714294</v>
      </c>
      <c r="AL33" s="211">
        <f t="shared" si="19"/>
        <v>4203.4285714285725</v>
      </c>
      <c r="AM33" s="211">
        <f t="shared" si="19"/>
        <v>4226.2857142857147</v>
      </c>
      <c r="AN33" s="211">
        <f t="shared" si="19"/>
        <v>4249.1428571428578</v>
      </c>
      <c r="AO33" s="211">
        <f t="shared" si="19"/>
        <v>4272.0000000000009</v>
      </c>
      <c r="AP33" s="211">
        <f t="shared" si="19"/>
        <v>4294.8571428571431</v>
      </c>
      <c r="AQ33" s="211">
        <f t="shared" si="19"/>
        <v>4317.7142857142862</v>
      </c>
      <c r="AR33" s="211">
        <f t="shared" si="19"/>
        <v>4340.5714285714294</v>
      </c>
      <c r="AS33" s="211">
        <f t="shared" si="19"/>
        <v>4363.4285714285725</v>
      </c>
      <c r="AT33" s="211">
        <f t="shared" si="20"/>
        <v>4386.2857142857147</v>
      </c>
      <c r="AU33" s="211">
        <f t="shared" si="20"/>
        <v>4409.1428571428578</v>
      </c>
      <c r="AV33" s="211">
        <f t="shared" si="20"/>
        <v>4432.0000000000009</v>
      </c>
      <c r="AW33" s="211">
        <f t="shared" si="20"/>
        <v>4454.857142857144</v>
      </c>
      <c r="AX33" s="211">
        <f t="shared" si="20"/>
        <v>4477.7142857142862</v>
      </c>
      <c r="AY33" s="211">
        <f t="shared" si="20"/>
        <v>4500.5714285714294</v>
      </c>
      <c r="AZ33" s="211">
        <f t="shared" si="20"/>
        <v>4523.4285714285725</v>
      </c>
      <c r="BA33" s="211">
        <f t="shared" si="20"/>
        <v>4546.2857142857156</v>
      </c>
      <c r="BB33" s="211">
        <f t="shared" si="20"/>
        <v>4569.1428571428578</v>
      </c>
      <c r="BC33" s="211">
        <f t="shared" si="20"/>
        <v>4592.0000000000009</v>
      </c>
      <c r="BD33" s="211">
        <f t="shared" si="21"/>
        <v>8064.0000000000027</v>
      </c>
      <c r="BE33" s="211">
        <f t="shared" si="21"/>
        <v>8064.0000000000027</v>
      </c>
      <c r="BF33" s="211">
        <f t="shared" si="21"/>
        <v>8064.0000000000027</v>
      </c>
      <c r="BG33" s="211">
        <f t="shared" si="21"/>
        <v>8064.0000000000027</v>
      </c>
      <c r="BH33" s="211">
        <f t="shared" si="21"/>
        <v>8064.0000000000027</v>
      </c>
      <c r="BI33" s="211">
        <f t="shared" si="21"/>
        <v>8064.0000000000027</v>
      </c>
      <c r="BJ33" s="211">
        <f t="shared" si="21"/>
        <v>8064.0000000000027</v>
      </c>
      <c r="BK33" s="211">
        <f t="shared" si="21"/>
        <v>8064.0000000000027</v>
      </c>
      <c r="BL33" s="211">
        <f t="shared" si="21"/>
        <v>8064.0000000000027</v>
      </c>
      <c r="BM33" s="211">
        <f t="shared" si="21"/>
        <v>8064.0000000000027</v>
      </c>
      <c r="BN33" s="211">
        <f t="shared" si="22"/>
        <v>8064.0000000000027</v>
      </c>
      <c r="BO33" s="211">
        <f t="shared" si="22"/>
        <v>8064.0000000000027</v>
      </c>
      <c r="BP33" s="211">
        <f t="shared" si="22"/>
        <v>8064.0000000000027</v>
      </c>
      <c r="BQ33" s="211">
        <f t="shared" si="22"/>
        <v>8064.0000000000027</v>
      </c>
      <c r="BR33" s="211">
        <f t="shared" si="22"/>
        <v>8064.0000000000027</v>
      </c>
      <c r="BS33" s="211">
        <f t="shared" si="22"/>
        <v>8064.0000000000027</v>
      </c>
      <c r="BT33" s="211">
        <f t="shared" si="22"/>
        <v>8064.0000000000027</v>
      </c>
      <c r="BU33" s="211">
        <f t="shared" si="22"/>
        <v>8064.0000000000027</v>
      </c>
      <c r="BV33" s="211">
        <f t="shared" si="22"/>
        <v>8064.0000000000027</v>
      </c>
      <c r="BW33" s="211">
        <f t="shared" si="22"/>
        <v>8064.0000000000027</v>
      </c>
      <c r="BX33" s="211">
        <f t="shared" si="23"/>
        <v>8064.0000000000027</v>
      </c>
      <c r="BY33" s="211">
        <f t="shared" si="23"/>
        <v>8064.0000000000027</v>
      </c>
      <c r="BZ33" s="211">
        <f t="shared" si="23"/>
        <v>8064.0000000000027</v>
      </c>
      <c r="CA33" s="211">
        <f t="shared" si="23"/>
        <v>8064.0000000000027</v>
      </c>
      <c r="CB33" s="211">
        <f t="shared" si="23"/>
        <v>8064.0000000000027</v>
      </c>
      <c r="CC33" s="211">
        <f t="shared" si="23"/>
        <v>8064.0000000000027</v>
      </c>
      <c r="CD33" s="211">
        <f t="shared" si="23"/>
        <v>8064.0000000000027</v>
      </c>
      <c r="CE33" s="211">
        <f t="shared" si="23"/>
        <v>8064.0000000000027</v>
      </c>
      <c r="CF33" s="211">
        <f t="shared" si="23"/>
        <v>8064.0000000000027</v>
      </c>
      <c r="CG33" s="211">
        <f t="shared" si="23"/>
        <v>8064.0000000000027</v>
      </c>
      <c r="CH33" s="211">
        <f t="shared" si="24"/>
        <v>8064.0000000000027</v>
      </c>
      <c r="CI33" s="211">
        <f t="shared" si="24"/>
        <v>8064.0000000000027</v>
      </c>
      <c r="CJ33" s="211">
        <f t="shared" si="24"/>
        <v>8064.0000000000027</v>
      </c>
      <c r="CK33" s="211">
        <f t="shared" si="24"/>
        <v>8064.0000000000027</v>
      </c>
      <c r="CL33" s="211">
        <f t="shared" si="24"/>
        <v>8064.0000000000027</v>
      </c>
      <c r="CM33" s="211">
        <f t="shared" si="24"/>
        <v>8064.0000000000027</v>
      </c>
      <c r="CN33" s="211">
        <f t="shared" si="24"/>
        <v>8064.0000000000027</v>
      </c>
      <c r="CO33" s="211">
        <f t="shared" si="24"/>
        <v>8064.0000000000027</v>
      </c>
      <c r="CP33" s="211">
        <f t="shared" si="24"/>
        <v>8064.0000000000027</v>
      </c>
      <c r="CQ33" s="211">
        <f t="shared" si="24"/>
        <v>8064.0000000000027</v>
      </c>
      <c r="CR33" s="211">
        <f t="shared" si="25"/>
        <v>8064.0000000000027</v>
      </c>
      <c r="CS33" s="211">
        <f t="shared" si="25"/>
        <v>8064.0000000000027</v>
      </c>
      <c r="CT33" s="211">
        <f t="shared" si="25"/>
        <v>8064.0000000000027</v>
      </c>
      <c r="CU33" s="211">
        <f t="shared" si="25"/>
        <v>8064.0000000000027</v>
      </c>
      <c r="CV33" s="211">
        <f t="shared" si="25"/>
        <v>8064.0000000000027</v>
      </c>
      <c r="CW33" s="211">
        <f t="shared" si="25"/>
        <v>8064.0000000000027</v>
      </c>
      <c r="CX33" s="211">
        <f t="shared" si="25"/>
        <v>8064.0000000000027</v>
      </c>
      <c r="CY33" s="211">
        <f t="shared" si="25"/>
        <v>8064.0000000000027</v>
      </c>
      <c r="CZ33" s="211">
        <f t="shared" si="25"/>
        <v>8064.0000000000027</v>
      </c>
      <c r="DA33" s="211">
        <f t="shared" si="25"/>
        <v>8064.0000000000027</v>
      </c>
    </row>
    <row r="34" spans="1:105">
      <c r="A34" s="202" t="str">
        <f>Income!A82</f>
        <v>Small business/petty trading</v>
      </c>
      <c r="B34" s="204">
        <f>Income!B82</f>
        <v>0</v>
      </c>
      <c r="C34" s="204">
        <f>Income!C82</f>
        <v>940.80000000000007</v>
      </c>
      <c r="D34" s="204">
        <f>Income!D82</f>
        <v>8064.0000000000009</v>
      </c>
      <c r="E34" s="204">
        <f>Income!E82</f>
        <v>19353.600000000002</v>
      </c>
      <c r="F34" s="211">
        <f t="shared" si="16"/>
        <v>0</v>
      </c>
      <c r="G34" s="211">
        <f t="shared" si="16"/>
        <v>0</v>
      </c>
      <c r="H34" s="211">
        <f t="shared" si="16"/>
        <v>0</v>
      </c>
      <c r="I34" s="211">
        <f t="shared" si="16"/>
        <v>0</v>
      </c>
      <c r="J34" s="211">
        <f t="shared" si="16"/>
        <v>0</v>
      </c>
      <c r="K34" s="211">
        <f t="shared" si="16"/>
        <v>0</v>
      </c>
      <c r="L34" s="211">
        <f t="shared" si="16"/>
        <v>0</v>
      </c>
      <c r="M34" s="211">
        <f t="shared" si="16"/>
        <v>0</v>
      </c>
      <c r="N34" s="211">
        <f t="shared" si="16"/>
        <v>0</v>
      </c>
      <c r="O34" s="211">
        <f t="shared" si="16"/>
        <v>0</v>
      </c>
      <c r="P34" s="211">
        <f t="shared" si="17"/>
        <v>0</v>
      </c>
      <c r="Q34" s="211">
        <f t="shared" si="17"/>
        <v>0</v>
      </c>
      <c r="R34" s="211">
        <f t="shared" si="17"/>
        <v>0</v>
      </c>
      <c r="S34" s="211">
        <f t="shared" si="17"/>
        <v>0</v>
      </c>
      <c r="T34" s="211">
        <f t="shared" si="17"/>
        <v>0</v>
      </c>
      <c r="U34" s="211">
        <f t="shared" si="17"/>
        <v>0</v>
      </c>
      <c r="V34" s="211">
        <f t="shared" si="17"/>
        <v>0</v>
      </c>
      <c r="W34" s="211">
        <f t="shared" si="17"/>
        <v>0</v>
      </c>
      <c r="X34" s="211">
        <f t="shared" si="17"/>
        <v>0</v>
      </c>
      <c r="Y34" s="211">
        <f t="shared" si="17"/>
        <v>0</v>
      </c>
      <c r="Z34" s="211">
        <f t="shared" si="18"/>
        <v>0</v>
      </c>
      <c r="AA34" s="211">
        <f t="shared" si="18"/>
        <v>0</v>
      </c>
      <c r="AB34" s="211">
        <f t="shared" si="18"/>
        <v>0</v>
      </c>
      <c r="AC34" s="211">
        <f t="shared" si="18"/>
        <v>0</v>
      </c>
      <c r="AD34" s="211">
        <f t="shared" si="18"/>
        <v>0</v>
      </c>
      <c r="AE34" s="211">
        <f t="shared" si="18"/>
        <v>19.200000000000003</v>
      </c>
      <c r="AF34" s="211">
        <f t="shared" si="18"/>
        <v>57.6</v>
      </c>
      <c r="AG34" s="211">
        <f t="shared" si="18"/>
        <v>96</v>
      </c>
      <c r="AH34" s="211">
        <f t="shared" si="18"/>
        <v>134.4</v>
      </c>
      <c r="AI34" s="211">
        <f t="shared" si="18"/>
        <v>172.8</v>
      </c>
      <c r="AJ34" s="211">
        <f t="shared" si="19"/>
        <v>211.20000000000002</v>
      </c>
      <c r="AK34" s="211">
        <f t="shared" si="19"/>
        <v>249.60000000000002</v>
      </c>
      <c r="AL34" s="211">
        <f t="shared" si="19"/>
        <v>288.00000000000006</v>
      </c>
      <c r="AM34" s="211">
        <f t="shared" si="19"/>
        <v>326.40000000000003</v>
      </c>
      <c r="AN34" s="211">
        <f t="shared" si="19"/>
        <v>364.8</v>
      </c>
      <c r="AO34" s="211">
        <f t="shared" si="19"/>
        <v>403.20000000000005</v>
      </c>
      <c r="AP34" s="211">
        <f t="shared" si="19"/>
        <v>441.6</v>
      </c>
      <c r="AQ34" s="211">
        <f t="shared" si="19"/>
        <v>480</v>
      </c>
      <c r="AR34" s="211">
        <f t="shared" si="19"/>
        <v>518.40000000000009</v>
      </c>
      <c r="AS34" s="211">
        <f t="shared" si="19"/>
        <v>556.80000000000007</v>
      </c>
      <c r="AT34" s="211">
        <f t="shared" si="20"/>
        <v>595.20000000000005</v>
      </c>
      <c r="AU34" s="211">
        <f t="shared" si="20"/>
        <v>633.6</v>
      </c>
      <c r="AV34" s="211">
        <f t="shared" si="20"/>
        <v>672</v>
      </c>
      <c r="AW34" s="211">
        <f t="shared" si="20"/>
        <v>710.40000000000009</v>
      </c>
      <c r="AX34" s="211">
        <f t="shared" si="20"/>
        <v>748.80000000000007</v>
      </c>
      <c r="AY34" s="211">
        <f t="shared" si="20"/>
        <v>787.2</v>
      </c>
      <c r="AZ34" s="211">
        <f t="shared" si="20"/>
        <v>825.6</v>
      </c>
      <c r="BA34" s="211">
        <f t="shared" si="20"/>
        <v>864</v>
      </c>
      <c r="BB34" s="211">
        <f t="shared" si="20"/>
        <v>902.40000000000009</v>
      </c>
      <c r="BC34" s="211">
        <f t="shared" si="20"/>
        <v>940.80000000000007</v>
      </c>
      <c r="BD34" s="211">
        <f t="shared" si="21"/>
        <v>19353.600000000002</v>
      </c>
      <c r="BE34" s="211">
        <f t="shared" si="21"/>
        <v>19353.600000000002</v>
      </c>
      <c r="BF34" s="211">
        <f t="shared" si="21"/>
        <v>19353.600000000002</v>
      </c>
      <c r="BG34" s="211">
        <f t="shared" si="21"/>
        <v>19353.600000000002</v>
      </c>
      <c r="BH34" s="211">
        <f t="shared" si="21"/>
        <v>19353.600000000002</v>
      </c>
      <c r="BI34" s="211">
        <f t="shared" si="21"/>
        <v>19353.600000000002</v>
      </c>
      <c r="BJ34" s="211">
        <f t="shared" si="21"/>
        <v>19353.600000000002</v>
      </c>
      <c r="BK34" s="211">
        <f t="shared" si="21"/>
        <v>19353.600000000002</v>
      </c>
      <c r="BL34" s="211">
        <f t="shared" si="21"/>
        <v>19353.600000000002</v>
      </c>
      <c r="BM34" s="211">
        <f t="shared" si="21"/>
        <v>19353.600000000002</v>
      </c>
      <c r="BN34" s="211">
        <f t="shared" si="22"/>
        <v>19353.600000000002</v>
      </c>
      <c r="BO34" s="211">
        <f t="shared" si="22"/>
        <v>19353.600000000002</v>
      </c>
      <c r="BP34" s="211">
        <f t="shared" si="22"/>
        <v>19353.600000000002</v>
      </c>
      <c r="BQ34" s="211">
        <f t="shared" si="22"/>
        <v>19353.600000000002</v>
      </c>
      <c r="BR34" s="211">
        <f t="shared" si="22"/>
        <v>19353.600000000002</v>
      </c>
      <c r="BS34" s="211">
        <f t="shared" si="22"/>
        <v>19353.600000000002</v>
      </c>
      <c r="BT34" s="211">
        <f t="shared" si="22"/>
        <v>19353.600000000002</v>
      </c>
      <c r="BU34" s="211">
        <f t="shared" si="22"/>
        <v>19353.600000000002</v>
      </c>
      <c r="BV34" s="211">
        <f t="shared" si="22"/>
        <v>19353.600000000002</v>
      </c>
      <c r="BW34" s="211">
        <f t="shared" si="22"/>
        <v>19353.600000000002</v>
      </c>
      <c r="BX34" s="211">
        <f t="shared" si="23"/>
        <v>19353.600000000002</v>
      </c>
      <c r="BY34" s="211">
        <f t="shared" si="23"/>
        <v>19353.600000000002</v>
      </c>
      <c r="BZ34" s="211">
        <f t="shared" si="23"/>
        <v>19353.600000000002</v>
      </c>
      <c r="CA34" s="211">
        <f t="shared" si="23"/>
        <v>19353.600000000002</v>
      </c>
      <c r="CB34" s="211">
        <f t="shared" si="23"/>
        <v>19353.600000000002</v>
      </c>
      <c r="CC34" s="211">
        <f t="shared" si="23"/>
        <v>19353.600000000002</v>
      </c>
      <c r="CD34" s="211">
        <f t="shared" si="23"/>
        <v>19353.600000000002</v>
      </c>
      <c r="CE34" s="211">
        <f t="shared" si="23"/>
        <v>19353.600000000002</v>
      </c>
      <c r="CF34" s="211">
        <f t="shared" si="23"/>
        <v>19353.600000000002</v>
      </c>
      <c r="CG34" s="211">
        <f t="shared" si="23"/>
        <v>19353.600000000002</v>
      </c>
      <c r="CH34" s="211">
        <f t="shared" si="24"/>
        <v>19353.600000000002</v>
      </c>
      <c r="CI34" s="211">
        <f t="shared" si="24"/>
        <v>19353.600000000002</v>
      </c>
      <c r="CJ34" s="211">
        <f t="shared" si="24"/>
        <v>19353.600000000002</v>
      </c>
      <c r="CK34" s="211">
        <f t="shared" si="24"/>
        <v>19353.600000000002</v>
      </c>
      <c r="CL34" s="211">
        <f t="shared" si="24"/>
        <v>19353.600000000002</v>
      </c>
      <c r="CM34" s="211">
        <f t="shared" si="24"/>
        <v>19353.600000000002</v>
      </c>
      <c r="CN34" s="211">
        <f t="shared" si="24"/>
        <v>19353.600000000002</v>
      </c>
      <c r="CO34" s="211">
        <f t="shared" si="24"/>
        <v>19353.600000000002</v>
      </c>
      <c r="CP34" s="211">
        <f t="shared" si="24"/>
        <v>19353.600000000002</v>
      </c>
      <c r="CQ34" s="211">
        <f t="shared" si="24"/>
        <v>19353.600000000002</v>
      </c>
      <c r="CR34" s="211">
        <f t="shared" si="25"/>
        <v>19353.600000000002</v>
      </c>
      <c r="CS34" s="211">
        <f t="shared" si="25"/>
        <v>19353.600000000002</v>
      </c>
      <c r="CT34" s="211">
        <f t="shared" si="25"/>
        <v>19353.600000000002</v>
      </c>
      <c r="CU34" s="211">
        <f t="shared" si="25"/>
        <v>19353.600000000002</v>
      </c>
      <c r="CV34" s="211">
        <f t="shared" si="25"/>
        <v>19353.600000000002</v>
      </c>
      <c r="CW34" s="211">
        <f t="shared" si="25"/>
        <v>19353.600000000002</v>
      </c>
      <c r="CX34" s="211">
        <f t="shared" si="25"/>
        <v>19353.600000000002</v>
      </c>
      <c r="CY34" s="211">
        <f t="shared" si="25"/>
        <v>19353.600000000002</v>
      </c>
      <c r="CZ34" s="211">
        <f t="shared" si="25"/>
        <v>19353.600000000002</v>
      </c>
      <c r="DA34" s="211">
        <f t="shared" si="25"/>
        <v>19353.600000000002</v>
      </c>
    </row>
    <row r="35" spans="1:105">
      <c r="A35" s="202" t="str">
        <f>Income!A83</f>
        <v>Food transfer - official</v>
      </c>
      <c r="B35" s="204">
        <f>Income!B83</f>
        <v>666.26128843769459</v>
      </c>
      <c r="C35" s="204">
        <f>Income!C83</f>
        <v>654.06827139439042</v>
      </c>
      <c r="D35" s="204">
        <f>Income!D83</f>
        <v>0</v>
      </c>
      <c r="E35" s="204">
        <f>Income!E83</f>
        <v>0</v>
      </c>
      <c r="F35" s="211">
        <f t="shared" si="16"/>
        <v>666.26128843769459</v>
      </c>
      <c r="G35" s="211">
        <f t="shared" si="16"/>
        <v>666.26128843769459</v>
      </c>
      <c r="H35" s="211">
        <f t="shared" si="16"/>
        <v>666.26128843769459</v>
      </c>
      <c r="I35" s="211">
        <f t="shared" si="16"/>
        <v>666.26128843769459</v>
      </c>
      <c r="J35" s="211">
        <f t="shared" si="16"/>
        <v>666.26128843769459</v>
      </c>
      <c r="K35" s="211">
        <f t="shared" si="16"/>
        <v>666.26128843769459</v>
      </c>
      <c r="L35" s="211">
        <f t="shared" si="16"/>
        <v>666.26128843769459</v>
      </c>
      <c r="M35" s="211">
        <f t="shared" si="16"/>
        <v>666.26128843769459</v>
      </c>
      <c r="N35" s="211">
        <f t="shared" si="16"/>
        <v>666.26128843769459</v>
      </c>
      <c r="O35" s="211">
        <f t="shared" si="16"/>
        <v>666.26128843769459</v>
      </c>
      <c r="P35" s="211">
        <f t="shared" si="17"/>
        <v>666.26128843769459</v>
      </c>
      <c r="Q35" s="211">
        <f t="shared" si="17"/>
        <v>666.26128843769459</v>
      </c>
      <c r="R35" s="211">
        <f t="shared" si="17"/>
        <v>666.26128843769459</v>
      </c>
      <c r="S35" s="211">
        <f t="shared" si="17"/>
        <v>666.26128843769459</v>
      </c>
      <c r="T35" s="211">
        <f t="shared" si="17"/>
        <v>666.26128843769459</v>
      </c>
      <c r="U35" s="211">
        <f t="shared" si="17"/>
        <v>666.26128843769459</v>
      </c>
      <c r="V35" s="211">
        <f t="shared" si="17"/>
        <v>666.26128843769459</v>
      </c>
      <c r="W35" s="211">
        <f t="shared" si="17"/>
        <v>666.26128843769459</v>
      </c>
      <c r="X35" s="211">
        <f t="shared" si="17"/>
        <v>666.26128843769459</v>
      </c>
      <c r="Y35" s="211">
        <f t="shared" si="17"/>
        <v>666.26128843769459</v>
      </c>
      <c r="Z35" s="211">
        <f t="shared" si="18"/>
        <v>666.26128843769459</v>
      </c>
      <c r="AA35" s="211">
        <f t="shared" si="18"/>
        <v>666.26128843769459</v>
      </c>
      <c r="AB35" s="211">
        <f t="shared" si="18"/>
        <v>666.26128843769459</v>
      </c>
      <c r="AC35" s="211">
        <f t="shared" si="18"/>
        <v>666.26128843769459</v>
      </c>
      <c r="AD35" s="211">
        <f t="shared" si="18"/>
        <v>666.26128843769459</v>
      </c>
      <c r="AE35" s="211">
        <f t="shared" si="18"/>
        <v>666.0124513551782</v>
      </c>
      <c r="AF35" s="211">
        <f t="shared" si="18"/>
        <v>665.51477719014531</v>
      </c>
      <c r="AG35" s="211">
        <f t="shared" si="18"/>
        <v>665.01710302511253</v>
      </c>
      <c r="AH35" s="211">
        <f t="shared" si="18"/>
        <v>664.51942886007976</v>
      </c>
      <c r="AI35" s="211">
        <f t="shared" si="18"/>
        <v>664.02175469504687</v>
      </c>
      <c r="AJ35" s="211">
        <f t="shared" si="19"/>
        <v>663.52408053001409</v>
      </c>
      <c r="AK35" s="211">
        <f t="shared" si="19"/>
        <v>663.0264063649812</v>
      </c>
      <c r="AL35" s="211">
        <f t="shared" si="19"/>
        <v>662.52873219994842</v>
      </c>
      <c r="AM35" s="211">
        <f t="shared" si="19"/>
        <v>662.03105803491565</v>
      </c>
      <c r="AN35" s="211">
        <f t="shared" si="19"/>
        <v>661.53338386988275</v>
      </c>
      <c r="AO35" s="211">
        <f t="shared" si="19"/>
        <v>661.03570970484998</v>
      </c>
      <c r="AP35" s="211">
        <f t="shared" si="19"/>
        <v>660.53803553981709</v>
      </c>
      <c r="AQ35" s="211">
        <f t="shared" si="19"/>
        <v>660.04036137478431</v>
      </c>
      <c r="AR35" s="211">
        <f t="shared" si="19"/>
        <v>659.54268720975142</v>
      </c>
      <c r="AS35" s="211">
        <f t="shared" si="19"/>
        <v>659.04501304471864</v>
      </c>
      <c r="AT35" s="211">
        <f t="shared" si="20"/>
        <v>658.54733887968587</v>
      </c>
      <c r="AU35" s="211">
        <f t="shared" si="20"/>
        <v>658.04966471465298</v>
      </c>
      <c r="AV35" s="211">
        <f t="shared" si="20"/>
        <v>657.5519905496202</v>
      </c>
      <c r="AW35" s="211">
        <f t="shared" si="20"/>
        <v>657.05431638458731</v>
      </c>
      <c r="AX35" s="211">
        <f t="shared" si="20"/>
        <v>656.55664221955453</v>
      </c>
      <c r="AY35" s="211">
        <f t="shared" si="20"/>
        <v>656.05896805452176</v>
      </c>
      <c r="AZ35" s="211">
        <f t="shared" si="20"/>
        <v>655.56129388948887</v>
      </c>
      <c r="BA35" s="211">
        <f t="shared" si="20"/>
        <v>655.06361972445609</v>
      </c>
      <c r="BB35" s="211">
        <f t="shared" si="20"/>
        <v>654.5659455594232</v>
      </c>
      <c r="BC35" s="211">
        <f t="shared" si="20"/>
        <v>654.06827139439042</v>
      </c>
      <c r="BD35" s="211">
        <f t="shared" si="21"/>
        <v>0</v>
      </c>
      <c r="BE35" s="211">
        <f t="shared" si="21"/>
        <v>0</v>
      </c>
      <c r="BF35" s="211">
        <f t="shared" si="21"/>
        <v>0</v>
      </c>
      <c r="BG35" s="211">
        <f t="shared" si="21"/>
        <v>0</v>
      </c>
      <c r="BH35" s="211">
        <f t="shared" si="21"/>
        <v>0</v>
      </c>
      <c r="BI35" s="211">
        <f t="shared" si="21"/>
        <v>0</v>
      </c>
      <c r="BJ35" s="211">
        <f t="shared" si="21"/>
        <v>0</v>
      </c>
      <c r="BK35" s="211">
        <f t="shared" si="21"/>
        <v>0</v>
      </c>
      <c r="BL35" s="211">
        <f t="shared" si="21"/>
        <v>0</v>
      </c>
      <c r="BM35" s="211">
        <f t="shared" si="21"/>
        <v>0</v>
      </c>
      <c r="BN35" s="211">
        <f t="shared" si="22"/>
        <v>0</v>
      </c>
      <c r="BO35" s="211">
        <f t="shared" si="22"/>
        <v>0</v>
      </c>
      <c r="BP35" s="211">
        <f t="shared" si="22"/>
        <v>0</v>
      </c>
      <c r="BQ35" s="211">
        <f t="shared" si="22"/>
        <v>0</v>
      </c>
      <c r="BR35" s="211">
        <f t="shared" si="22"/>
        <v>0</v>
      </c>
      <c r="BS35" s="211">
        <f t="shared" si="22"/>
        <v>0</v>
      </c>
      <c r="BT35" s="211">
        <f t="shared" si="22"/>
        <v>0</v>
      </c>
      <c r="BU35" s="211">
        <f t="shared" si="22"/>
        <v>0</v>
      </c>
      <c r="BV35" s="211">
        <f t="shared" si="22"/>
        <v>0</v>
      </c>
      <c r="BW35" s="211">
        <f t="shared" si="22"/>
        <v>0</v>
      </c>
      <c r="BX35" s="211">
        <f t="shared" si="23"/>
        <v>0</v>
      </c>
      <c r="BY35" s="211">
        <f t="shared" si="23"/>
        <v>0</v>
      </c>
      <c r="BZ35" s="211">
        <f t="shared" si="23"/>
        <v>0</v>
      </c>
      <c r="CA35" s="211">
        <f t="shared" si="23"/>
        <v>0</v>
      </c>
      <c r="CB35" s="211">
        <f t="shared" si="23"/>
        <v>0</v>
      </c>
      <c r="CC35" s="211">
        <f t="shared" si="23"/>
        <v>0</v>
      </c>
      <c r="CD35" s="211">
        <f t="shared" si="23"/>
        <v>0</v>
      </c>
      <c r="CE35" s="211">
        <f t="shared" si="23"/>
        <v>0</v>
      </c>
      <c r="CF35" s="211">
        <f t="shared" si="23"/>
        <v>0</v>
      </c>
      <c r="CG35" s="211">
        <f t="shared" si="23"/>
        <v>0</v>
      </c>
      <c r="CH35" s="211">
        <f t="shared" si="24"/>
        <v>0</v>
      </c>
      <c r="CI35" s="211">
        <f t="shared" si="24"/>
        <v>0</v>
      </c>
      <c r="CJ35" s="211">
        <f t="shared" si="24"/>
        <v>0</v>
      </c>
      <c r="CK35" s="211">
        <f t="shared" si="24"/>
        <v>0</v>
      </c>
      <c r="CL35" s="211">
        <f t="shared" si="24"/>
        <v>0</v>
      </c>
      <c r="CM35" s="211">
        <f t="shared" si="24"/>
        <v>0</v>
      </c>
      <c r="CN35" s="211">
        <f t="shared" si="24"/>
        <v>0</v>
      </c>
      <c r="CO35" s="211">
        <f t="shared" si="24"/>
        <v>0</v>
      </c>
      <c r="CP35" s="211">
        <f t="shared" si="24"/>
        <v>0</v>
      </c>
      <c r="CQ35" s="211">
        <f t="shared" si="24"/>
        <v>0</v>
      </c>
      <c r="CR35" s="211">
        <f t="shared" si="25"/>
        <v>0</v>
      </c>
      <c r="CS35" s="211">
        <f t="shared" si="25"/>
        <v>0</v>
      </c>
      <c r="CT35" s="211">
        <f t="shared" si="25"/>
        <v>0</v>
      </c>
      <c r="CU35" s="211">
        <f t="shared" si="25"/>
        <v>0</v>
      </c>
      <c r="CV35" s="211">
        <f t="shared" si="25"/>
        <v>0</v>
      </c>
      <c r="CW35" s="211">
        <f t="shared" si="25"/>
        <v>0</v>
      </c>
      <c r="CX35" s="211">
        <f t="shared" si="25"/>
        <v>0</v>
      </c>
      <c r="CY35" s="211">
        <f t="shared" si="25"/>
        <v>0</v>
      </c>
      <c r="CZ35" s="211">
        <f t="shared" si="25"/>
        <v>0</v>
      </c>
      <c r="DA35" s="211">
        <f t="shared" si="25"/>
        <v>0</v>
      </c>
    </row>
    <row r="36" spans="1:105">
      <c r="A36" s="202" t="str">
        <f>Income!A85</f>
        <v>Cash transfer - official</v>
      </c>
      <c r="B36" s="204">
        <f>Income!B85</f>
        <v>22378.617310981866</v>
      </c>
      <c r="C36" s="204">
        <f>Income!C85</f>
        <v>22378.617310981866</v>
      </c>
      <c r="D36" s="204">
        <f>Income!D85</f>
        <v>9048.3949367088626</v>
      </c>
      <c r="E36" s="204">
        <f>Income!E85</f>
        <v>10858.073924050634</v>
      </c>
      <c r="F36" s="211">
        <f t="shared" si="16"/>
        <v>22378.617310981866</v>
      </c>
      <c r="G36" s="211">
        <f t="shared" si="16"/>
        <v>22378.617310981866</v>
      </c>
      <c r="H36" s="211">
        <f t="shared" si="16"/>
        <v>22378.617310981866</v>
      </c>
      <c r="I36" s="211">
        <f t="shared" si="16"/>
        <v>22378.617310981866</v>
      </c>
      <c r="J36" s="211">
        <f t="shared" si="16"/>
        <v>22378.617310981866</v>
      </c>
      <c r="K36" s="211">
        <f t="shared" si="16"/>
        <v>22378.617310981866</v>
      </c>
      <c r="L36" s="211">
        <f t="shared" si="16"/>
        <v>22378.617310981866</v>
      </c>
      <c r="M36" s="211">
        <f t="shared" si="16"/>
        <v>22378.617310981866</v>
      </c>
      <c r="N36" s="211">
        <f t="shared" si="16"/>
        <v>22378.617310981866</v>
      </c>
      <c r="O36" s="211">
        <f t="shared" si="16"/>
        <v>22378.617310981866</v>
      </c>
      <c r="P36" s="211">
        <f t="shared" si="16"/>
        <v>22378.617310981866</v>
      </c>
      <c r="Q36" s="211">
        <f t="shared" si="16"/>
        <v>22378.617310981866</v>
      </c>
      <c r="R36" s="211">
        <f t="shared" si="16"/>
        <v>22378.617310981866</v>
      </c>
      <c r="S36" s="211">
        <f t="shared" si="16"/>
        <v>22378.617310981866</v>
      </c>
      <c r="T36" s="211">
        <f t="shared" si="16"/>
        <v>22378.617310981866</v>
      </c>
      <c r="U36" s="211">
        <f t="shared" si="16"/>
        <v>22378.617310981866</v>
      </c>
      <c r="V36" s="211">
        <f t="shared" si="17"/>
        <v>22378.617310981866</v>
      </c>
      <c r="W36" s="211">
        <f t="shared" si="17"/>
        <v>22378.617310981866</v>
      </c>
      <c r="X36" s="211">
        <f t="shared" si="17"/>
        <v>22378.617310981866</v>
      </c>
      <c r="Y36" s="211">
        <f t="shared" si="17"/>
        <v>22378.617310981866</v>
      </c>
      <c r="Z36" s="211">
        <f t="shared" si="17"/>
        <v>22378.617310981866</v>
      </c>
      <c r="AA36" s="211">
        <f t="shared" si="17"/>
        <v>22378.617310981866</v>
      </c>
      <c r="AB36" s="211">
        <f t="shared" si="17"/>
        <v>22378.617310981866</v>
      </c>
      <c r="AC36" s="211">
        <f t="shared" si="17"/>
        <v>22378.617310981866</v>
      </c>
      <c r="AD36" s="211">
        <f t="shared" si="17"/>
        <v>22378.617310981866</v>
      </c>
      <c r="AE36" s="211">
        <f t="shared" si="17"/>
        <v>22378.617310981866</v>
      </c>
      <c r="AF36" s="211">
        <f t="shared" si="18"/>
        <v>22378.617310981866</v>
      </c>
      <c r="AG36" s="211">
        <f t="shared" si="18"/>
        <v>22378.617310981866</v>
      </c>
      <c r="AH36" s="211">
        <f t="shared" si="18"/>
        <v>22378.617310981866</v>
      </c>
      <c r="AI36" s="211">
        <f t="shared" si="18"/>
        <v>22378.617310981866</v>
      </c>
      <c r="AJ36" s="211">
        <f t="shared" si="18"/>
        <v>22378.617310981866</v>
      </c>
      <c r="AK36" s="211">
        <f t="shared" si="18"/>
        <v>22378.617310981866</v>
      </c>
      <c r="AL36" s="211">
        <f t="shared" si="18"/>
        <v>22378.617310981866</v>
      </c>
      <c r="AM36" s="211">
        <f t="shared" si="18"/>
        <v>22378.617310981866</v>
      </c>
      <c r="AN36" s="211">
        <f t="shared" si="18"/>
        <v>22378.617310981866</v>
      </c>
      <c r="AO36" s="211">
        <f t="shared" si="18"/>
        <v>22378.617310981866</v>
      </c>
      <c r="AP36" s="211">
        <f t="shared" si="19"/>
        <v>22378.617310981866</v>
      </c>
      <c r="AQ36" s="211">
        <f t="shared" si="19"/>
        <v>22378.617310981866</v>
      </c>
      <c r="AR36" s="211">
        <f t="shared" si="19"/>
        <v>22378.617310981866</v>
      </c>
      <c r="AS36" s="211">
        <f t="shared" si="19"/>
        <v>22378.617310981866</v>
      </c>
      <c r="AT36" s="211">
        <f t="shared" si="19"/>
        <v>22378.617310981866</v>
      </c>
      <c r="AU36" s="211">
        <f t="shared" si="19"/>
        <v>22378.617310981866</v>
      </c>
      <c r="AV36" s="211">
        <f t="shared" si="19"/>
        <v>22378.617310981866</v>
      </c>
      <c r="AW36" s="211">
        <f t="shared" si="19"/>
        <v>22378.617310981866</v>
      </c>
      <c r="AX36" s="211">
        <f t="shared" si="19"/>
        <v>22378.617310981866</v>
      </c>
      <c r="AY36" s="211">
        <f t="shared" si="19"/>
        <v>22378.617310981866</v>
      </c>
      <c r="AZ36" s="211">
        <f t="shared" si="20"/>
        <v>22378.617310981866</v>
      </c>
      <c r="BA36" s="211">
        <f t="shared" si="20"/>
        <v>22378.617310981866</v>
      </c>
      <c r="BB36" s="211">
        <f t="shared" si="20"/>
        <v>22378.617310981866</v>
      </c>
      <c r="BC36" s="211">
        <f t="shared" si="20"/>
        <v>22378.617310981866</v>
      </c>
      <c r="BD36" s="211">
        <f t="shared" si="20"/>
        <v>10858.073924050634</v>
      </c>
      <c r="BE36" s="211">
        <f t="shared" si="20"/>
        <v>10858.073924050634</v>
      </c>
      <c r="BF36" s="211">
        <f t="shared" si="20"/>
        <v>10858.073924050634</v>
      </c>
      <c r="BG36" s="211">
        <f t="shared" si="20"/>
        <v>10858.073924050634</v>
      </c>
      <c r="BH36" s="211">
        <f t="shared" si="20"/>
        <v>10858.073924050634</v>
      </c>
      <c r="BI36" s="211">
        <f t="shared" si="20"/>
        <v>10858.073924050634</v>
      </c>
      <c r="BJ36" s="211">
        <f t="shared" si="21"/>
        <v>10858.073924050634</v>
      </c>
      <c r="BK36" s="211">
        <f t="shared" si="21"/>
        <v>10858.073924050634</v>
      </c>
      <c r="BL36" s="211">
        <f t="shared" si="21"/>
        <v>10858.073924050634</v>
      </c>
      <c r="BM36" s="211">
        <f t="shared" si="21"/>
        <v>10858.073924050634</v>
      </c>
      <c r="BN36" s="211">
        <f t="shared" si="21"/>
        <v>10858.073924050634</v>
      </c>
      <c r="BO36" s="211">
        <f t="shared" si="21"/>
        <v>10858.073924050634</v>
      </c>
      <c r="BP36" s="211">
        <f t="shared" si="21"/>
        <v>10858.073924050634</v>
      </c>
      <c r="BQ36" s="211">
        <f t="shared" si="21"/>
        <v>10858.073924050634</v>
      </c>
      <c r="BR36" s="211">
        <f t="shared" si="21"/>
        <v>10858.073924050634</v>
      </c>
      <c r="BS36" s="211">
        <f t="shared" si="21"/>
        <v>10858.073924050634</v>
      </c>
      <c r="BT36" s="211">
        <f t="shared" si="22"/>
        <v>10858.073924050634</v>
      </c>
      <c r="BU36" s="211">
        <f t="shared" si="22"/>
        <v>10858.073924050634</v>
      </c>
      <c r="BV36" s="211">
        <f t="shared" si="22"/>
        <v>10858.073924050634</v>
      </c>
      <c r="BW36" s="211">
        <f t="shared" si="22"/>
        <v>10858.073924050634</v>
      </c>
      <c r="BX36" s="211">
        <f t="shared" si="22"/>
        <v>10858.073924050634</v>
      </c>
      <c r="BY36" s="211">
        <f t="shared" si="22"/>
        <v>10858.073924050634</v>
      </c>
      <c r="BZ36" s="211">
        <f t="shared" si="22"/>
        <v>10858.073924050634</v>
      </c>
      <c r="CA36" s="211">
        <f t="shared" si="22"/>
        <v>10858.073924050634</v>
      </c>
      <c r="CB36" s="211">
        <f t="shared" si="22"/>
        <v>10858.073924050634</v>
      </c>
      <c r="CC36" s="211">
        <f t="shared" si="22"/>
        <v>10858.073924050634</v>
      </c>
      <c r="CD36" s="211">
        <f t="shared" si="23"/>
        <v>10858.073924050634</v>
      </c>
      <c r="CE36" s="211">
        <f t="shared" si="23"/>
        <v>10858.073924050634</v>
      </c>
      <c r="CF36" s="211">
        <f t="shared" si="23"/>
        <v>10858.073924050634</v>
      </c>
      <c r="CG36" s="211">
        <f t="shared" si="23"/>
        <v>10858.073924050634</v>
      </c>
      <c r="CH36" s="211">
        <f t="shared" si="23"/>
        <v>10858.073924050634</v>
      </c>
      <c r="CI36" s="211">
        <f t="shared" si="23"/>
        <v>10858.073924050634</v>
      </c>
      <c r="CJ36" s="211">
        <f t="shared" si="23"/>
        <v>10858.073924050634</v>
      </c>
      <c r="CK36" s="211">
        <f t="shared" si="23"/>
        <v>10858.073924050634</v>
      </c>
      <c r="CL36" s="211">
        <f t="shared" si="23"/>
        <v>10858.073924050634</v>
      </c>
      <c r="CM36" s="211">
        <f t="shared" si="23"/>
        <v>10858.073924050634</v>
      </c>
      <c r="CN36" s="211">
        <f t="shared" si="24"/>
        <v>10858.073924050634</v>
      </c>
      <c r="CO36" s="211">
        <f t="shared" si="24"/>
        <v>10858.073924050634</v>
      </c>
      <c r="CP36" s="211">
        <f t="shared" si="24"/>
        <v>10858.073924050634</v>
      </c>
      <c r="CQ36" s="211">
        <f t="shared" si="24"/>
        <v>10858.073924050634</v>
      </c>
      <c r="CR36" s="211">
        <f t="shared" si="24"/>
        <v>10858.073924050634</v>
      </c>
      <c r="CS36" s="211">
        <f t="shared" si="24"/>
        <v>10858.073924050634</v>
      </c>
      <c r="CT36" s="211">
        <f t="shared" si="24"/>
        <v>10858.073924050634</v>
      </c>
      <c r="CU36" s="211">
        <f t="shared" si="24"/>
        <v>10858.073924050634</v>
      </c>
      <c r="CV36" s="211">
        <f t="shared" si="24"/>
        <v>10858.073924050634</v>
      </c>
      <c r="CW36" s="211">
        <f t="shared" si="24"/>
        <v>10858.073924050634</v>
      </c>
      <c r="CX36" s="211">
        <f t="shared" si="25"/>
        <v>10858.073924050634</v>
      </c>
      <c r="CY36" s="211">
        <f t="shared" si="25"/>
        <v>10858.073924050634</v>
      </c>
      <c r="CZ36" s="211">
        <f t="shared" si="25"/>
        <v>10858.073924050634</v>
      </c>
      <c r="DA36" s="211">
        <f t="shared" si="25"/>
        <v>10858.073924050634</v>
      </c>
    </row>
    <row r="37" spans="1:105">
      <c r="A37" s="202" t="str">
        <f>Income!A86</f>
        <v>Cash transfer - gifts</v>
      </c>
      <c r="B37" s="204">
        <f>Income!B86</f>
        <v>2688.0000000000005</v>
      </c>
      <c r="C37" s="204">
        <f>Income!C86</f>
        <v>4032.0000000000005</v>
      </c>
      <c r="D37" s="204">
        <f>Income!D86</f>
        <v>26880.000000000004</v>
      </c>
      <c r="E37" s="204">
        <f>Income!E86</f>
        <v>48384.000000000015</v>
      </c>
      <c r="F37" s="211">
        <f t="shared" si="16"/>
        <v>2688.0000000000005</v>
      </c>
      <c r="G37" s="211">
        <f t="shared" si="16"/>
        <v>2688.0000000000005</v>
      </c>
      <c r="H37" s="211">
        <f t="shared" si="16"/>
        <v>2688.0000000000005</v>
      </c>
      <c r="I37" s="211">
        <f t="shared" si="16"/>
        <v>2688.0000000000005</v>
      </c>
      <c r="J37" s="211">
        <f t="shared" si="16"/>
        <v>2688.0000000000005</v>
      </c>
      <c r="K37" s="211">
        <f t="shared" si="16"/>
        <v>2688.0000000000005</v>
      </c>
      <c r="L37" s="211">
        <f t="shared" si="16"/>
        <v>2688.0000000000005</v>
      </c>
      <c r="M37" s="211">
        <f t="shared" si="16"/>
        <v>2688.0000000000005</v>
      </c>
      <c r="N37" s="211">
        <f t="shared" si="16"/>
        <v>2688.0000000000005</v>
      </c>
      <c r="O37" s="211">
        <f t="shared" si="16"/>
        <v>2688.0000000000005</v>
      </c>
      <c r="P37" s="211">
        <f t="shared" si="17"/>
        <v>2688.0000000000005</v>
      </c>
      <c r="Q37" s="211">
        <f t="shared" si="17"/>
        <v>2688.0000000000005</v>
      </c>
      <c r="R37" s="211">
        <f t="shared" si="17"/>
        <v>2688.0000000000005</v>
      </c>
      <c r="S37" s="211">
        <f t="shared" si="17"/>
        <v>2688.0000000000005</v>
      </c>
      <c r="T37" s="211">
        <f t="shared" si="17"/>
        <v>2688.0000000000005</v>
      </c>
      <c r="U37" s="211">
        <f t="shared" si="17"/>
        <v>2688.0000000000005</v>
      </c>
      <c r="V37" s="211">
        <f t="shared" si="17"/>
        <v>2688.0000000000005</v>
      </c>
      <c r="W37" s="211">
        <f t="shared" si="17"/>
        <v>2688.0000000000005</v>
      </c>
      <c r="X37" s="211">
        <f t="shared" si="17"/>
        <v>2688.0000000000005</v>
      </c>
      <c r="Y37" s="211">
        <f t="shared" si="17"/>
        <v>2688.0000000000005</v>
      </c>
      <c r="Z37" s="211">
        <f t="shared" si="18"/>
        <v>2688.0000000000005</v>
      </c>
      <c r="AA37" s="211">
        <f t="shared" si="18"/>
        <v>2688.0000000000005</v>
      </c>
      <c r="AB37" s="211">
        <f t="shared" si="18"/>
        <v>2688.0000000000005</v>
      </c>
      <c r="AC37" s="211">
        <f t="shared" si="18"/>
        <v>2688.0000000000005</v>
      </c>
      <c r="AD37" s="211">
        <f t="shared" si="18"/>
        <v>2688.0000000000005</v>
      </c>
      <c r="AE37" s="211">
        <f t="shared" si="18"/>
        <v>2715.428571428572</v>
      </c>
      <c r="AF37" s="211">
        <f t="shared" si="18"/>
        <v>2770.2857142857147</v>
      </c>
      <c r="AG37" s="211">
        <f t="shared" si="18"/>
        <v>2825.1428571428578</v>
      </c>
      <c r="AH37" s="211">
        <f t="shared" si="18"/>
        <v>2880.0000000000005</v>
      </c>
      <c r="AI37" s="211">
        <f t="shared" si="18"/>
        <v>2934.8571428571431</v>
      </c>
      <c r="AJ37" s="211">
        <f t="shared" si="19"/>
        <v>2989.7142857142862</v>
      </c>
      <c r="AK37" s="211">
        <f t="shared" si="19"/>
        <v>3044.5714285714289</v>
      </c>
      <c r="AL37" s="211">
        <f t="shared" si="19"/>
        <v>3099.428571428572</v>
      </c>
      <c r="AM37" s="211">
        <f t="shared" si="19"/>
        <v>3154.2857142857147</v>
      </c>
      <c r="AN37" s="211">
        <f t="shared" si="19"/>
        <v>3209.1428571428578</v>
      </c>
      <c r="AO37" s="211">
        <f t="shared" si="19"/>
        <v>3264.0000000000005</v>
      </c>
      <c r="AP37" s="211">
        <f t="shared" si="19"/>
        <v>3318.8571428571431</v>
      </c>
      <c r="AQ37" s="211">
        <f t="shared" si="19"/>
        <v>3373.7142857142862</v>
      </c>
      <c r="AR37" s="211">
        <f t="shared" si="19"/>
        <v>3428.5714285714289</v>
      </c>
      <c r="AS37" s="211">
        <f t="shared" si="19"/>
        <v>3483.428571428572</v>
      </c>
      <c r="AT37" s="211">
        <f t="shared" si="20"/>
        <v>3538.2857142857147</v>
      </c>
      <c r="AU37" s="211">
        <f t="shared" si="20"/>
        <v>3593.1428571428578</v>
      </c>
      <c r="AV37" s="211">
        <f t="shared" si="20"/>
        <v>3648.0000000000005</v>
      </c>
      <c r="AW37" s="211">
        <f t="shared" si="20"/>
        <v>3702.8571428571431</v>
      </c>
      <c r="AX37" s="211">
        <f t="shared" si="20"/>
        <v>3757.7142857142862</v>
      </c>
      <c r="AY37" s="211">
        <f t="shared" si="20"/>
        <v>3812.5714285714294</v>
      </c>
      <c r="AZ37" s="211">
        <f t="shared" si="20"/>
        <v>3867.4285714285716</v>
      </c>
      <c r="BA37" s="211">
        <f t="shared" si="20"/>
        <v>3922.2857142857147</v>
      </c>
      <c r="BB37" s="211">
        <f t="shared" si="20"/>
        <v>3977.1428571428578</v>
      </c>
      <c r="BC37" s="211">
        <f t="shared" si="20"/>
        <v>4032.0000000000005</v>
      </c>
      <c r="BD37" s="211">
        <f t="shared" si="21"/>
        <v>48384.000000000015</v>
      </c>
      <c r="BE37" s="211">
        <f t="shared" si="21"/>
        <v>48384.000000000015</v>
      </c>
      <c r="BF37" s="211">
        <f t="shared" si="21"/>
        <v>48384.000000000015</v>
      </c>
      <c r="BG37" s="211">
        <f t="shared" si="21"/>
        <v>48384.000000000015</v>
      </c>
      <c r="BH37" s="211">
        <f t="shared" si="21"/>
        <v>48384.000000000015</v>
      </c>
      <c r="BI37" s="211">
        <f t="shared" si="21"/>
        <v>48384.000000000015</v>
      </c>
      <c r="BJ37" s="211">
        <f t="shared" si="21"/>
        <v>48384.000000000015</v>
      </c>
      <c r="BK37" s="211">
        <f t="shared" si="21"/>
        <v>48384.000000000015</v>
      </c>
      <c r="BL37" s="211">
        <f t="shared" si="21"/>
        <v>48384.000000000015</v>
      </c>
      <c r="BM37" s="211">
        <f t="shared" si="21"/>
        <v>48384.000000000015</v>
      </c>
      <c r="BN37" s="211">
        <f t="shared" si="22"/>
        <v>48384.000000000015</v>
      </c>
      <c r="BO37" s="211">
        <f t="shared" si="22"/>
        <v>48384.000000000015</v>
      </c>
      <c r="BP37" s="211">
        <f t="shared" si="22"/>
        <v>48384.000000000015</v>
      </c>
      <c r="BQ37" s="211">
        <f t="shared" si="22"/>
        <v>48384.000000000015</v>
      </c>
      <c r="BR37" s="211">
        <f t="shared" si="22"/>
        <v>48384.000000000015</v>
      </c>
      <c r="BS37" s="211">
        <f t="shared" si="22"/>
        <v>48384.000000000015</v>
      </c>
      <c r="BT37" s="211">
        <f t="shared" si="22"/>
        <v>48384.000000000015</v>
      </c>
      <c r="BU37" s="211">
        <f t="shared" si="22"/>
        <v>48384.000000000015</v>
      </c>
      <c r="BV37" s="211">
        <f t="shared" si="22"/>
        <v>48384.000000000015</v>
      </c>
      <c r="BW37" s="211">
        <f t="shared" si="22"/>
        <v>48384.000000000015</v>
      </c>
      <c r="BX37" s="211">
        <f t="shared" si="23"/>
        <v>48384.000000000015</v>
      </c>
      <c r="BY37" s="211">
        <f t="shared" si="23"/>
        <v>48384.000000000015</v>
      </c>
      <c r="BZ37" s="211">
        <f t="shared" si="23"/>
        <v>48384.000000000015</v>
      </c>
      <c r="CA37" s="211">
        <f t="shared" si="23"/>
        <v>48384.000000000015</v>
      </c>
      <c r="CB37" s="211">
        <f t="shared" si="23"/>
        <v>48384.000000000015</v>
      </c>
      <c r="CC37" s="211">
        <f t="shared" si="23"/>
        <v>48384.000000000015</v>
      </c>
      <c r="CD37" s="211">
        <f t="shared" si="23"/>
        <v>48384.000000000015</v>
      </c>
      <c r="CE37" s="211">
        <f t="shared" si="23"/>
        <v>48384.000000000015</v>
      </c>
      <c r="CF37" s="211">
        <f t="shared" si="23"/>
        <v>48384.000000000015</v>
      </c>
      <c r="CG37" s="211">
        <f t="shared" si="23"/>
        <v>48384.000000000015</v>
      </c>
      <c r="CH37" s="211">
        <f t="shared" si="24"/>
        <v>48384.000000000015</v>
      </c>
      <c r="CI37" s="211">
        <f t="shared" si="24"/>
        <v>48384.000000000015</v>
      </c>
      <c r="CJ37" s="211">
        <f t="shared" si="24"/>
        <v>48384.000000000015</v>
      </c>
      <c r="CK37" s="211">
        <f t="shared" si="24"/>
        <v>48384.000000000015</v>
      </c>
      <c r="CL37" s="211">
        <f t="shared" si="24"/>
        <v>48384.000000000015</v>
      </c>
      <c r="CM37" s="211">
        <f t="shared" si="24"/>
        <v>48384.000000000015</v>
      </c>
      <c r="CN37" s="211">
        <f t="shared" si="24"/>
        <v>48384.000000000015</v>
      </c>
      <c r="CO37" s="211">
        <f t="shared" si="24"/>
        <v>48384.000000000015</v>
      </c>
      <c r="CP37" s="211">
        <f t="shared" si="24"/>
        <v>48384.000000000015</v>
      </c>
      <c r="CQ37" s="211">
        <f t="shared" si="24"/>
        <v>48384.000000000015</v>
      </c>
      <c r="CR37" s="211">
        <f t="shared" si="25"/>
        <v>48384.000000000015</v>
      </c>
      <c r="CS37" s="211">
        <f t="shared" si="25"/>
        <v>48384.000000000015</v>
      </c>
      <c r="CT37" s="211">
        <f t="shared" si="25"/>
        <v>48384.000000000015</v>
      </c>
      <c r="CU37" s="211">
        <f t="shared" si="25"/>
        <v>48384.000000000015</v>
      </c>
      <c r="CV37" s="211">
        <f t="shared" si="25"/>
        <v>48384.000000000015</v>
      </c>
      <c r="CW37" s="211">
        <f t="shared" si="25"/>
        <v>48384.000000000015</v>
      </c>
      <c r="CX37" s="211">
        <f t="shared" si="25"/>
        <v>48384.000000000015</v>
      </c>
      <c r="CY37" s="211">
        <f t="shared" si="25"/>
        <v>48384.000000000015</v>
      </c>
      <c r="CZ37" s="211">
        <f t="shared" si="25"/>
        <v>48384.000000000015</v>
      </c>
      <c r="DA37" s="211">
        <f t="shared" si="25"/>
        <v>48384.000000000015</v>
      </c>
    </row>
    <row r="38" spans="1:105">
      <c r="A38" s="202" t="str">
        <f>Income!A88</f>
        <v>TOTAL</v>
      </c>
      <c r="B38" s="204">
        <f>Income!B88</f>
        <v>39915.093103963438</v>
      </c>
      <c r="C38" s="204">
        <f>Income!C88</f>
        <v>52902.183028208383</v>
      </c>
      <c r="D38" s="204">
        <f>Income!D88</f>
        <v>102555.39755686156</v>
      </c>
      <c r="E38" s="204">
        <f>Income!E88</f>
        <v>408503.60214977665</v>
      </c>
      <c r="F38" s="205">
        <f t="shared" ref="F38:AK38" si="26">SUM(F25:F37)</f>
        <v>39411.093103963438</v>
      </c>
      <c r="G38" s="205">
        <f t="shared" si="26"/>
        <v>39411.093103963438</v>
      </c>
      <c r="H38" s="205">
        <f t="shared" si="26"/>
        <v>39411.093103963438</v>
      </c>
      <c r="I38" s="205">
        <f t="shared" si="26"/>
        <v>39411.093103963438</v>
      </c>
      <c r="J38" s="205">
        <f t="shared" si="26"/>
        <v>39411.093103963438</v>
      </c>
      <c r="K38" s="205">
        <f t="shared" si="26"/>
        <v>39411.093103963438</v>
      </c>
      <c r="L38" s="205">
        <f t="shared" si="26"/>
        <v>39411.093103963438</v>
      </c>
      <c r="M38" s="205">
        <f t="shared" si="26"/>
        <v>39411.093103963438</v>
      </c>
      <c r="N38" s="205">
        <f t="shared" si="26"/>
        <v>39411.093103963438</v>
      </c>
      <c r="O38" s="205">
        <f t="shared" si="26"/>
        <v>39411.093103963438</v>
      </c>
      <c r="P38" s="205">
        <f t="shared" si="26"/>
        <v>39411.093103963438</v>
      </c>
      <c r="Q38" s="205">
        <f t="shared" si="26"/>
        <v>39411.093103963438</v>
      </c>
      <c r="R38" s="205">
        <f t="shared" si="26"/>
        <v>39411.093103963438</v>
      </c>
      <c r="S38" s="205">
        <f t="shared" si="26"/>
        <v>39411.093103963438</v>
      </c>
      <c r="T38" s="205">
        <f t="shared" si="26"/>
        <v>39411.093103963438</v>
      </c>
      <c r="U38" s="205">
        <f t="shared" si="26"/>
        <v>39411.093103963438</v>
      </c>
      <c r="V38" s="205">
        <f t="shared" si="26"/>
        <v>39411.093103963438</v>
      </c>
      <c r="W38" s="205">
        <f t="shared" si="26"/>
        <v>39411.093103963438</v>
      </c>
      <c r="X38" s="205">
        <f t="shared" si="26"/>
        <v>39411.093103963438</v>
      </c>
      <c r="Y38" s="205">
        <f t="shared" si="26"/>
        <v>39411.093103963438</v>
      </c>
      <c r="Z38" s="205">
        <f t="shared" si="26"/>
        <v>39411.093103963438</v>
      </c>
      <c r="AA38" s="205">
        <f t="shared" si="26"/>
        <v>39411.093103963438</v>
      </c>
      <c r="AB38" s="205">
        <f t="shared" si="26"/>
        <v>39411.093103963438</v>
      </c>
      <c r="AC38" s="205">
        <f t="shared" si="26"/>
        <v>39411.093103963438</v>
      </c>
      <c r="AD38" s="205">
        <f t="shared" si="26"/>
        <v>39411.093103963438</v>
      </c>
      <c r="AE38" s="205">
        <f t="shared" si="26"/>
        <v>39673.598612621507</v>
      </c>
      <c r="AF38" s="205">
        <f t="shared" si="26"/>
        <v>40198.609629937622</v>
      </c>
      <c r="AG38" s="205">
        <f t="shared" si="26"/>
        <v>40723.620647253738</v>
      </c>
      <c r="AH38" s="205">
        <f t="shared" si="26"/>
        <v>41248.631664569861</v>
      </c>
      <c r="AI38" s="205">
        <f t="shared" si="26"/>
        <v>41773.642681885984</v>
      </c>
      <c r="AJ38" s="205">
        <f t="shared" si="26"/>
        <v>42298.653699202099</v>
      </c>
      <c r="AK38" s="205">
        <f t="shared" si="26"/>
        <v>42823.664716518215</v>
      </c>
      <c r="AL38" s="205">
        <f t="shared" ref="AL38:BQ38" si="27">SUM(AL25:AL37)</f>
        <v>43348.675733834345</v>
      </c>
      <c r="AM38" s="205">
        <f t="shared" si="27"/>
        <v>43873.686751150461</v>
      </c>
      <c r="AN38" s="205">
        <f t="shared" si="27"/>
        <v>44398.697768466576</v>
      </c>
      <c r="AO38" s="205">
        <f t="shared" si="27"/>
        <v>44923.708785782706</v>
      </c>
      <c r="AP38" s="205">
        <f t="shared" si="27"/>
        <v>45448.719803098822</v>
      </c>
      <c r="AQ38" s="205">
        <f t="shared" si="27"/>
        <v>45973.730820414945</v>
      </c>
      <c r="AR38" s="205">
        <f t="shared" si="27"/>
        <v>46498.741837731061</v>
      </c>
      <c r="AS38" s="205">
        <f t="shared" si="27"/>
        <v>47023.752855047183</v>
      </c>
      <c r="AT38" s="205">
        <f t="shared" si="27"/>
        <v>47548.763872363306</v>
      </c>
      <c r="AU38" s="205">
        <f t="shared" si="27"/>
        <v>48073.774889679422</v>
      </c>
      <c r="AV38" s="205">
        <f t="shared" si="27"/>
        <v>48598.785906995545</v>
      </c>
      <c r="AW38" s="205">
        <f t="shared" si="27"/>
        <v>49123.796924311668</v>
      </c>
      <c r="AX38" s="205">
        <f t="shared" si="27"/>
        <v>49648.807941627791</v>
      </c>
      <c r="AY38" s="205">
        <f t="shared" si="27"/>
        <v>50173.818958943906</v>
      </c>
      <c r="AZ38" s="205">
        <f t="shared" si="27"/>
        <v>50698.829976260029</v>
      </c>
      <c r="BA38" s="205">
        <f t="shared" si="27"/>
        <v>51223.840993576152</v>
      </c>
      <c r="BB38" s="205">
        <f t="shared" si="27"/>
        <v>51748.852010892268</v>
      </c>
      <c r="BC38" s="205">
        <f t="shared" si="27"/>
        <v>52273.863028208383</v>
      </c>
      <c r="BD38" s="205">
        <f t="shared" si="27"/>
        <v>408503.60214977665</v>
      </c>
      <c r="BE38" s="205">
        <f t="shared" si="27"/>
        <v>408503.60214977665</v>
      </c>
      <c r="BF38" s="205">
        <f t="shared" si="27"/>
        <v>408503.60214977665</v>
      </c>
      <c r="BG38" s="205">
        <f t="shared" si="27"/>
        <v>408503.60214977665</v>
      </c>
      <c r="BH38" s="205">
        <f t="shared" si="27"/>
        <v>408503.60214977665</v>
      </c>
      <c r="BI38" s="205">
        <f t="shared" si="27"/>
        <v>408503.60214977665</v>
      </c>
      <c r="BJ38" s="205">
        <f t="shared" si="27"/>
        <v>408503.60214977665</v>
      </c>
      <c r="BK38" s="205">
        <f t="shared" si="27"/>
        <v>408503.60214977665</v>
      </c>
      <c r="BL38" s="205">
        <f t="shared" si="27"/>
        <v>408503.60214977665</v>
      </c>
      <c r="BM38" s="205">
        <f t="shared" si="27"/>
        <v>408503.60214977665</v>
      </c>
      <c r="BN38" s="205">
        <f t="shared" si="27"/>
        <v>408503.60214977665</v>
      </c>
      <c r="BO38" s="205">
        <f t="shared" si="27"/>
        <v>408503.60214977665</v>
      </c>
      <c r="BP38" s="205">
        <f t="shared" si="27"/>
        <v>408503.60214977665</v>
      </c>
      <c r="BQ38" s="205">
        <f t="shared" si="27"/>
        <v>408503.60214977665</v>
      </c>
      <c r="BR38" s="205">
        <f t="shared" ref="BR38:CW38" si="28">SUM(BR25:BR37)</f>
        <v>408503.60214977665</v>
      </c>
      <c r="BS38" s="205">
        <f t="shared" si="28"/>
        <v>408503.60214977665</v>
      </c>
      <c r="BT38" s="205">
        <f t="shared" si="28"/>
        <v>408503.60214977665</v>
      </c>
      <c r="BU38" s="205">
        <f t="shared" si="28"/>
        <v>408503.60214977665</v>
      </c>
      <c r="BV38" s="205">
        <f t="shared" si="28"/>
        <v>408503.60214977665</v>
      </c>
      <c r="BW38" s="205">
        <f t="shared" si="28"/>
        <v>408503.60214977665</v>
      </c>
      <c r="BX38" s="205">
        <f t="shared" si="28"/>
        <v>408503.60214977665</v>
      </c>
      <c r="BY38" s="205">
        <f t="shared" si="28"/>
        <v>408503.60214977665</v>
      </c>
      <c r="BZ38" s="205">
        <f t="shared" si="28"/>
        <v>408503.60214977665</v>
      </c>
      <c r="CA38" s="205">
        <f t="shared" si="28"/>
        <v>408503.60214977665</v>
      </c>
      <c r="CB38" s="205">
        <f t="shared" si="28"/>
        <v>408503.60214977665</v>
      </c>
      <c r="CC38" s="205">
        <f t="shared" si="28"/>
        <v>408503.60214977665</v>
      </c>
      <c r="CD38" s="205">
        <f t="shared" si="28"/>
        <v>408503.60214977665</v>
      </c>
      <c r="CE38" s="205">
        <f t="shared" si="28"/>
        <v>408503.60214977665</v>
      </c>
      <c r="CF38" s="205">
        <f t="shared" si="28"/>
        <v>408503.60214977665</v>
      </c>
      <c r="CG38" s="205">
        <f t="shared" si="28"/>
        <v>408503.60214977665</v>
      </c>
      <c r="CH38" s="205">
        <f t="shared" si="28"/>
        <v>408503.60214977665</v>
      </c>
      <c r="CI38" s="205">
        <f t="shared" si="28"/>
        <v>408503.60214977665</v>
      </c>
      <c r="CJ38" s="205">
        <f t="shared" si="28"/>
        <v>408503.60214977665</v>
      </c>
      <c r="CK38" s="205">
        <f t="shared" si="28"/>
        <v>408503.60214977665</v>
      </c>
      <c r="CL38" s="205">
        <f t="shared" si="28"/>
        <v>408503.60214977665</v>
      </c>
      <c r="CM38" s="205">
        <f t="shared" si="28"/>
        <v>408503.60214977665</v>
      </c>
      <c r="CN38" s="205">
        <f t="shared" si="28"/>
        <v>408503.60214977665</v>
      </c>
      <c r="CO38" s="205">
        <f t="shared" si="28"/>
        <v>408503.60214977665</v>
      </c>
      <c r="CP38" s="205">
        <f t="shared" si="28"/>
        <v>408503.60214977665</v>
      </c>
      <c r="CQ38" s="205">
        <f t="shared" si="28"/>
        <v>408503.60214977665</v>
      </c>
      <c r="CR38" s="205">
        <f t="shared" si="28"/>
        <v>408503.60214977665</v>
      </c>
      <c r="CS38" s="205">
        <f t="shared" si="28"/>
        <v>408503.60214977665</v>
      </c>
      <c r="CT38" s="205">
        <f t="shared" si="28"/>
        <v>408503.60214977665</v>
      </c>
      <c r="CU38" s="205">
        <f t="shared" si="28"/>
        <v>408503.60214977665</v>
      </c>
      <c r="CV38" s="205">
        <f t="shared" si="28"/>
        <v>408503.60214977665</v>
      </c>
      <c r="CW38" s="205">
        <f t="shared" si="28"/>
        <v>408503.60214977665</v>
      </c>
      <c r="CX38" s="205">
        <f>SUM(CX25:CX37)</f>
        <v>408503.60214977665</v>
      </c>
      <c r="CY38" s="205">
        <f>SUM(CY25:CY37)</f>
        <v>408503.60214977665</v>
      </c>
      <c r="CZ38" s="205">
        <f>SUM(CZ25:CZ37)</f>
        <v>408503.60214977665</v>
      </c>
      <c r="DA38" s="205">
        <f>SUM(DA25:DA37)</f>
        <v>408503.60214977665</v>
      </c>
    </row>
    <row r="39" spans="1:105">
      <c r="A39" s="202" t="str">
        <f>Income!A89</f>
        <v>Food Poverty line</v>
      </c>
      <c r="B39" s="204">
        <f>Income!B89</f>
        <v>18678.904463959963</v>
      </c>
      <c r="C39" s="204">
        <f>Income!C89</f>
        <v>18678.904463959963</v>
      </c>
      <c r="D39" s="204">
        <f>Income!D89</f>
        <v>18678.904463959963</v>
      </c>
      <c r="E39" s="204">
        <f>Income!E89</f>
        <v>18678.904463959967</v>
      </c>
      <c r="F39" s="205">
        <f t="shared" ref="F39:U39" si="29">IF(F$2&lt;=($B$2+$C$2+$D$2),IF(F$2&lt;=($B$2+$C$2),IF(F$2&lt;=$B$2,$B39,$C39),$D39),$E39)</f>
        <v>18678.904463959963</v>
      </c>
      <c r="G39" s="205">
        <f t="shared" si="29"/>
        <v>18678.904463959963</v>
      </c>
      <c r="H39" s="205">
        <f t="shared" si="29"/>
        <v>18678.904463959963</v>
      </c>
      <c r="I39" s="205">
        <f t="shared" si="29"/>
        <v>18678.904463959963</v>
      </c>
      <c r="J39" s="205">
        <f t="shared" si="29"/>
        <v>18678.904463959963</v>
      </c>
      <c r="K39" s="205">
        <f t="shared" si="29"/>
        <v>18678.904463959963</v>
      </c>
      <c r="L39" s="205">
        <f t="shared" si="29"/>
        <v>18678.904463959963</v>
      </c>
      <c r="M39" s="205">
        <f t="shared" si="29"/>
        <v>18678.904463959963</v>
      </c>
      <c r="N39" s="205">
        <f t="shared" si="29"/>
        <v>18678.904463959963</v>
      </c>
      <c r="O39" s="205">
        <f t="shared" si="29"/>
        <v>18678.904463959963</v>
      </c>
      <c r="P39" s="205">
        <f t="shared" si="29"/>
        <v>18678.904463959963</v>
      </c>
      <c r="Q39" s="205">
        <f t="shared" si="29"/>
        <v>18678.904463959963</v>
      </c>
      <c r="R39" s="205">
        <f t="shared" si="29"/>
        <v>18678.904463959963</v>
      </c>
      <c r="S39" s="205">
        <f t="shared" si="29"/>
        <v>18678.904463959963</v>
      </c>
      <c r="T39" s="205">
        <f t="shared" si="29"/>
        <v>18678.904463959963</v>
      </c>
      <c r="U39" s="205">
        <f t="shared" si="29"/>
        <v>18678.904463959963</v>
      </c>
      <c r="V39" s="205">
        <f t="shared" ref="V39:AK40" si="30">IF(V$2&lt;=($B$2+$C$2+$D$2),IF(V$2&lt;=($B$2+$C$2),IF(V$2&lt;=$B$2,$B39,$C39),$D39),$E39)</f>
        <v>18678.904463959963</v>
      </c>
      <c r="W39" s="205">
        <f t="shared" si="30"/>
        <v>18678.904463959963</v>
      </c>
      <c r="X39" s="205">
        <f t="shared" si="30"/>
        <v>18678.904463959963</v>
      </c>
      <c r="Y39" s="205">
        <f t="shared" si="30"/>
        <v>18678.904463959963</v>
      </c>
      <c r="Z39" s="205">
        <f t="shared" si="30"/>
        <v>18678.904463959963</v>
      </c>
      <c r="AA39" s="205">
        <f t="shared" si="30"/>
        <v>18678.904463959963</v>
      </c>
      <c r="AB39" s="205">
        <f t="shared" si="30"/>
        <v>18678.904463959963</v>
      </c>
      <c r="AC39" s="205">
        <f t="shared" si="30"/>
        <v>18678.904463959963</v>
      </c>
      <c r="AD39" s="205">
        <f t="shared" si="30"/>
        <v>18678.904463959963</v>
      </c>
      <c r="AE39" s="205">
        <f t="shared" si="30"/>
        <v>18678.904463959963</v>
      </c>
      <c r="AF39" s="205">
        <f t="shared" si="30"/>
        <v>18678.904463959963</v>
      </c>
      <c r="AG39" s="205">
        <f t="shared" si="30"/>
        <v>18678.904463959963</v>
      </c>
      <c r="AH39" s="205">
        <f t="shared" si="30"/>
        <v>18678.904463959963</v>
      </c>
      <c r="AI39" s="205">
        <f t="shared" si="30"/>
        <v>18678.904463959963</v>
      </c>
      <c r="AJ39" s="205">
        <f t="shared" si="30"/>
        <v>18678.904463959963</v>
      </c>
      <c r="AK39" s="205">
        <f t="shared" si="30"/>
        <v>18678.904463959963</v>
      </c>
      <c r="AL39" s="205">
        <f t="shared" ref="AL39:BA40" si="31">IF(AL$2&lt;=($B$2+$C$2+$D$2),IF(AL$2&lt;=($B$2+$C$2),IF(AL$2&lt;=$B$2,$B39,$C39),$D39),$E39)</f>
        <v>18678.904463959963</v>
      </c>
      <c r="AM39" s="205">
        <f t="shared" si="31"/>
        <v>18678.904463959963</v>
      </c>
      <c r="AN39" s="205">
        <f t="shared" si="31"/>
        <v>18678.904463959963</v>
      </c>
      <c r="AO39" s="205">
        <f t="shared" si="31"/>
        <v>18678.904463959963</v>
      </c>
      <c r="AP39" s="205">
        <f t="shared" si="31"/>
        <v>18678.904463959963</v>
      </c>
      <c r="AQ39" s="205">
        <f t="shared" si="31"/>
        <v>18678.904463959963</v>
      </c>
      <c r="AR39" s="205">
        <f t="shared" si="31"/>
        <v>18678.904463959963</v>
      </c>
      <c r="AS39" s="205">
        <f t="shared" si="31"/>
        <v>18678.904463959963</v>
      </c>
      <c r="AT39" s="205">
        <f t="shared" si="31"/>
        <v>18678.904463959963</v>
      </c>
      <c r="AU39" s="205">
        <f t="shared" si="31"/>
        <v>18678.904463959963</v>
      </c>
      <c r="AV39" s="205">
        <f t="shared" si="31"/>
        <v>18678.904463959963</v>
      </c>
      <c r="AW39" s="205">
        <f t="shared" si="31"/>
        <v>18678.904463959963</v>
      </c>
      <c r="AX39" s="205">
        <f t="shared" si="31"/>
        <v>18678.904463959963</v>
      </c>
      <c r="AY39" s="205">
        <f t="shared" si="31"/>
        <v>18678.904463959963</v>
      </c>
      <c r="AZ39" s="205">
        <f t="shared" si="31"/>
        <v>18678.904463959963</v>
      </c>
      <c r="BA39" s="205">
        <f t="shared" si="31"/>
        <v>18678.904463959963</v>
      </c>
      <c r="BB39" s="205">
        <f t="shared" ref="BB39:CD40" si="32">IF(BB$2&lt;=($B$2+$C$2+$D$2),IF(BB$2&lt;=($B$2+$C$2),IF(BB$2&lt;=$B$2,$B39,$C39),$D39),$E39)</f>
        <v>18678.904463959963</v>
      </c>
      <c r="BC39" s="205">
        <f t="shared" si="32"/>
        <v>18678.904463959967</v>
      </c>
      <c r="BD39" s="205">
        <f t="shared" si="32"/>
        <v>18678.904463959967</v>
      </c>
      <c r="BE39" s="205">
        <f t="shared" si="32"/>
        <v>18678.904463959967</v>
      </c>
      <c r="BF39" s="205">
        <f t="shared" si="32"/>
        <v>18678.904463959967</v>
      </c>
      <c r="BG39" s="205">
        <f t="shared" si="32"/>
        <v>18678.904463959967</v>
      </c>
      <c r="BH39" s="205">
        <f t="shared" si="32"/>
        <v>18678.904463959967</v>
      </c>
      <c r="BI39" s="205">
        <f t="shared" si="32"/>
        <v>18678.904463959967</v>
      </c>
      <c r="BJ39" s="205">
        <f t="shared" si="32"/>
        <v>18678.904463959967</v>
      </c>
      <c r="BK39" s="205">
        <f t="shared" si="32"/>
        <v>18678.904463959967</v>
      </c>
      <c r="BL39" s="205">
        <f t="shared" si="32"/>
        <v>18678.904463959967</v>
      </c>
      <c r="BM39" s="205">
        <f t="shared" si="32"/>
        <v>18678.904463959967</v>
      </c>
      <c r="BN39" s="205">
        <f t="shared" si="32"/>
        <v>18678.904463959967</v>
      </c>
      <c r="BO39" s="205">
        <f t="shared" si="32"/>
        <v>18678.904463959967</v>
      </c>
      <c r="BP39" s="205">
        <f t="shared" si="32"/>
        <v>18678.904463959967</v>
      </c>
      <c r="BQ39" s="205">
        <f t="shared" si="32"/>
        <v>18678.904463959967</v>
      </c>
      <c r="BR39" s="205">
        <f t="shared" si="32"/>
        <v>18678.904463959967</v>
      </c>
      <c r="BS39" s="205">
        <f t="shared" si="32"/>
        <v>18678.904463959967</v>
      </c>
      <c r="BT39" s="205">
        <f t="shared" si="32"/>
        <v>18678.904463959967</v>
      </c>
      <c r="BU39" s="205">
        <f t="shared" si="32"/>
        <v>18678.904463959967</v>
      </c>
      <c r="BV39" s="205">
        <f t="shared" si="32"/>
        <v>18678.904463959967</v>
      </c>
      <c r="BW39" s="205">
        <f t="shared" si="32"/>
        <v>18678.904463959967</v>
      </c>
      <c r="BX39" s="205">
        <f t="shared" si="32"/>
        <v>18678.904463959967</v>
      </c>
      <c r="BY39" s="205">
        <f t="shared" si="32"/>
        <v>18678.904463959967</v>
      </c>
      <c r="BZ39" s="205">
        <f t="shared" si="32"/>
        <v>18678.904463959967</v>
      </c>
      <c r="CA39" s="205">
        <f t="shared" si="32"/>
        <v>18678.904463959967</v>
      </c>
      <c r="CB39" s="205">
        <f t="shared" si="32"/>
        <v>18678.904463959967</v>
      </c>
      <c r="CC39" s="205">
        <f t="shared" si="32"/>
        <v>18678.904463959967</v>
      </c>
      <c r="CD39" s="205">
        <f t="shared" si="32"/>
        <v>18678.904463959967</v>
      </c>
      <c r="CE39" s="205">
        <f t="shared" ref="CE39:CR40" si="33">IF(CE$2&lt;=($B$2+$C$2+$D$2),IF(CE$2&lt;=($B$2+$C$2),IF(CE$2&lt;=$B$2,$B39,$C39),$D39),$E39)</f>
        <v>18678.904463959967</v>
      </c>
      <c r="CF39" s="205">
        <f t="shared" si="33"/>
        <v>18678.904463959967</v>
      </c>
      <c r="CG39" s="205">
        <f t="shared" si="33"/>
        <v>18678.904463959967</v>
      </c>
      <c r="CH39" s="205">
        <f t="shared" si="33"/>
        <v>18678.904463959967</v>
      </c>
      <c r="CI39" s="205">
        <f t="shared" si="33"/>
        <v>18678.904463959967</v>
      </c>
      <c r="CJ39" s="205">
        <f t="shared" si="33"/>
        <v>18678.904463959967</v>
      </c>
      <c r="CK39" s="205">
        <f t="shared" si="33"/>
        <v>18678.904463959967</v>
      </c>
      <c r="CL39" s="205">
        <f t="shared" si="33"/>
        <v>18678.904463959967</v>
      </c>
      <c r="CM39" s="205">
        <f t="shared" si="33"/>
        <v>18678.904463959967</v>
      </c>
      <c r="CN39" s="205">
        <f t="shared" si="33"/>
        <v>18678.904463959967</v>
      </c>
      <c r="CO39" s="205">
        <f t="shared" si="33"/>
        <v>18678.904463959967</v>
      </c>
      <c r="CP39" s="205">
        <f t="shared" si="33"/>
        <v>18678.904463959967</v>
      </c>
      <c r="CQ39" s="205">
        <f t="shared" si="33"/>
        <v>18678.904463959967</v>
      </c>
      <c r="CR39" s="205">
        <f t="shared" si="33"/>
        <v>18678.904463959967</v>
      </c>
      <c r="CS39" s="205">
        <f t="shared" ref="CS39:DA40" si="34">IF(CS$2&lt;=($B$2+$C$2+$D$2),IF(CS$2&lt;=($B$2+$C$2),IF(CS$2&lt;=$B$2,$B39,$C39),$D39),$E39)</f>
        <v>18678.904463959967</v>
      </c>
      <c r="CT39" s="205">
        <f t="shared" si="34"/>
        <v>18678.904463959967</v>
      </c>
      <c r="CU39" s="205">
        <f t="shared" si="34"/>
        <v>18678.904463959967</v>
      </c>
      <c r="CV39" s="205">
        <f t="shared" si="34"/>
        <v>18678.904463959967</v>
      </c>
      <c r="CW39" s="205">
        <f t="shared" si="34"/>
        <v>18678.904463959967</v>
      </c>
      <c r="CX39" s="205">
        <f t="shared" si="34"/>
        <v>18678.904463959967</v>
      </c>
      <c r="CY39" s="205">
        <f t="shared" si="34"/>
        <v>18678.904463959967</v>
      </c>
      <c r="CZ39" s="205">
        <f t="shared" si="34"/>
        <v>18678.904463959967</v>
      </c>
      <c r="DA39" s="205">
        <f t="shared" si="34"/>
        <v>18678.904463959967</v>
      </c>
    </row>
    <row r="40" spans="1:105">
      <c r="A40" s="202" t="str">
        <f>Income!A90</f>
        <v>Lower Bound Poverty line</v>
      </c>
      <c r="B40" s="204">
        <f>Income!B90</f>
        <v>31956.58733381049</v>
      </c>
      <c r="C40" s="204">
        <f>Income!C90</f>
        <v>31956.58733381049</v>
      </c>
      <c r="D40" s="204">
        <f>Income!D90</f>
        <v>31956.58733381049</v>
      </c>
      <c r="E40" s="204">
        <f>Income!E90</f>
        <v>31956.587333810494</v>
      </c>
      <c r="F40" s="205">
        <f t="shared" ref="F40:U40" si="35">IF(F$2&lt;=($B$2+$C$2+$D$2),IF(F$2&lt;=($B$2+$C$2),IF(F$2&lt;=$B$2,$B40,$C40),$D40),$E40)</f>
        <v>31956.58733381049</v>
      </c>
      <c r="G40" s="205">
        <f t="shared" si="35"/>
        <v>31956.58733381049</v>
      </c>
      <c r="H40" s="205">
        <f t="shared" si="35"/>
        <v>31956.58733381049</v>
      </c>
      <c r="I40" s="205">
        <f t="shared" si="35"/>
        <v>31956.58733381049</v>
      </c>
      <c r="J40" s="205">
        <f t="shared" si="35"/>
        <v>31956.58733381049</v>
      </c>
      <c r="K40" s="205">
        <f t="shared" si="35"/>
        <v>31956.58733381049</v>
      </c>
      <c r="L40" s="205">
        <f t="shared" si="35"/>
        <v>31956.58733381049</v>
      </c>
      <c r="M40" s="205">
        <f t="shared" si="35"/>
        <v>31956.58733381049</v>
      </c>
      <c r="N40" s="205">
        <f t="shared" si="35"/>
        <v>31956.58733381049</v>
      </c>
      <c r="O40" s="205">
        <f t="shared" si="35"/>
        <v>31956.58733381049</v>
      </c>
      <c r="P40" s="205">
        <f t="shared" si="35"/>
        <v>31956.58733381049</v>
      </c>
      <c r="Q40" s="205">
        <f t="shared" si="35"/>
        <v>31956.58733381049</v>
      </c>
      <c r="R40" s="205">
        <f t="shared" si="35"/>
        <v>31956.58733381049</v>
      </c>
      <c r="S40" s="205">
        <f t="shared" si="35"/>
        <v>31956.58733381049</v>
      </c>
      <c r="T40" s="205">
        <f t="shared" si="35"/>
        <v>31956.58733381049</v>
      </c>
      <c r="U40" s="205">
        <f t="shared" si="35"/>
        <v>31956.58733381049</v>
      </c>
      <c r="V40" s="205">
        <f t="shared" si="30"/>
        <v>31956.58733381049</v>
      </c>
      <c r="W40" s="205">
        <f t="shared" si="30"/>
        <v>31956.58733381049</v>
      </c>
      <c r="X40" s="205">
        <f t="shared" si="30"/>
        <v>31956.58733381049</v>
      </c>
      <c r="Y40" s="205">
        <f t="shared" si="30"/>
        <v>31956.58733381049</v>
      </c>
      <c r="Z40" s="205">
        <f t="shared" si="30"/>
        <v>31956.58733381049</v>
      </c>
      <c r="AA40" s="205">
        <f t="shared" si="30"/>
        <v>31956.58733381049</v>
      </c>
      <c r="AB40" s="205">
        <f t="shared" si="30"/>
        <v>31956.58733381049</v>
      </c>
      <c r="AC40" s="205">
        <f t="shared" si="30"/>
        <v>31956.58733381049</v>
      </c>
      <c r="AD40" s="205">
        <f t="shared" si="30"/>
        <v>31956.58733381049</v>
      </c>
      <c r="AE40" s="205">
        <f t="shared" si="30"/>
        <v>31956.58733381049</v>
      </c>
      <c r="AF40" s="205">
        <f t="shared" si="30"/>
        <v>31956.58733381049</v>
      </c>
      <c r="AG40" s="205">
        <f t="shared" si="30"/>
        <v>31956.58733381049</v>
      </c>
      <c r="AH40" s="205">
        <f t="shared" si="30"/>
        <v>31956.58733381049</v>
      </c>
      <c r="AI40" s="205">
        <f t="shared" si="30"/>
        <v>31956.58733381049</v>
      </c>
      <c r="AJ40" s="205">
        <f t="shared" si="30"/>
        <v>31956.58733381049</v>
      </c>
      <c r="AK40" s="205">
        <f t="shared" si="30"/>
        <v>31956.58733381049</v>
      </c>
      <c r="AL40" s="205">
        <f t="shared" si="31"/>
        <v>31956.58733381049</v>
      </c>
      <c r="AM40" s="205">
        <f t="shared" si="31"/>
        <v>31956.58733381049</v>
      </c>
      <c r="AN40" s="205">
        <f t="shared" si="31"/>
        <v>31956.58733381049</v>
      </c>
      <c r="AO40" s="205">
        <f t="shared" si="31"/>
        <v>31956.58733381049</v>
      </c>
      <c r="AP40" s="205">
        <f t="shared" si="31"/>
        <v>31956.58733381049</v>
      </c>
      <c r="AQ40" s="205">
        <f t="shared" si="31"/>
        <v>31956.58733381049</v>
      </c>
      <c r="AR40" s="205">
        <f t="shared" si="31"/>
        <v>31956.58733381049</v>
      </c>
      <c r="AS40" s="205">
        <f t="shared" si="31"/>
        <v>31956.58733381049</v>
      </c>
      <c r="AT40" s="205">
        <f t="shared" si="31"/>
        <v>31956.58733381049</v>
      </c>
      <c r="AU40" s="205">
        <f t="shared" si="31"/>
        <v>31956.58733381049</v>
      </c>
      <c r="AV40" s="205">
        <f t="shared" si="31"/>
        <v>31956.58733381049</v>
      </c>
      <c r="AW40" s="205">
        <f t="shared" si="31"/>
        <v>31956.58733381049</v>
      </c>
      <c r="AX40" s="205">
        <f t="shared" si="31"/>
        <v>31956.58733381049</v>
      </c>
      <c r="AY40" s="205">
        <f t="shared" si="31"/>
        <v>31956.58733381049</v>
      </c>
      <c r="AZ40" s="205">
        <f t="shared" si="31"/>
        <v>31956.58733381049</v>
      </c>
      <c r="BA40" s="205">
        <f t="shared" si="31"/>
        <v>31956.58733381049</v>
      </c>
      <c r="BB40" s="205">
        <f t="shared" si="32"/>
        <v>31956.58733381049</v>
      </c>
      <c r="BC40" s="205">
        <f t="shared" si="32"/>
        <v>31956.587333810494</v>
      </c>
      <c r="BD40" s="205">
        <f t="shared" si="32"/>
        <v>31956.587333810494</v>
      </c>
      <c r="BE40" s="205">
        <f t="shared" si="32"/>
        <v>31956.587333810494</v>
      </c>
      <c r="BF40" s="205">
        <f t="shared" si="32"/>
        <v>31956.587333810494</v>
      </c>
      <c r="BG40" s="205">
        <f t="shared" si="32"/>
        <v>31956.587333810494</v>
      </c>
      <c r="BH40" s="205">
        <f t="shared" si="32"/>
        <v>31956.587333810494</v>
      </c>
      <c r="BI40" s="205">
        <f t="shared" si="32"/>
        <v>31956.587333810494</v>
      </c>
      <c r="BJ40" s="205">
        <f t="shared" si="32"/>
        <v>31956.587333810494</v>
      </c>
      <c r="BK40" s="205">
        <f t="shared" si="32"/>
        <v>31956.587333810494</v>
      </c>
      <c r="BL40" s="205">
        <f t="shared" si="32"/>
        <v>31956.587333810494</v>
      </c>
      <c r="BM40" s="205">
        <f t="shared" si="32"/>
        <v>31956.587333810494</v>
      </c>
      <c r="BN40" s="205">
        <f t="shared" si="32"/>
        <v>31956.587333810494</v>
      </c>
      <c r="BO40" s="205">
        <f t="shared" si="32"/>
        <v>31956.587333810494</v>
      </c>
      <c r="BP40" s="205">
        <f t="shared" si="32"/>
        <v>31956.587333810494</v>
      </c>
      <c r="BQ40" s="205">
        <f t="shared" si="32"/>
        <v>31956.587333810494</v>
      </c>
      <c r="BR40" s="205">
        <f t="shared" si="32"/>
        <v>31956.587333810494</v>
      </c>
      <c r="BS40" s="205">
        <f t="shared" si="32"/>
        <v>31956.587333810494</v>
      </c>
      <c r="BT40" s="205">
        <f t="shared" si="32"/>
        <v>31956.587333810494</v>
      </c>
      <c r="BU40" s="205">
        <f t="shared" si="32"/>
        <v>31956.587333810494</v>
      </c>
      <c r="BV40" s="205">
        <f t="shared" si="32"/>
        <v>31956.587333810494</v>
      </c>
      <c r="BW40" s="205">
        <f t="shared" si="32"/>
        <v>31956.587333810494</v>
      </c>
      <c r="BX40" s="205">
        <f t="shared" si="32"/>
        <v>31956.587333810494</v>
      </c>
      <c r="BY40" s="205">
        <f t="shared" si="32"/>
        <v>31956.587333810494</v>
      </c>
      <c r="BZ40" s="205">
        <f t="shared" si="32"/>
        <v>31956.587333810494</v>
      </c>
      <c r="CA40" s="205">
        <f t="shared" si="32"/>
        <v>31956.587333810494</v>
      </c>
      <c r="CB40" s="205">
        <f t="shared" si="32"/>
        <v>31956.587333810494</v>
      </c>
      <c r="CC40" s="205">
        <f t="shared" si="32"/>
        <v>31956.587333810494</v>
      </c>
      <c r="CD40" s="205">
        <f t="shared" si="32"/>
        <v>31956.587333810494</v>
      </c>
      <c r="CE40" s="205">
        <f t="shared" si="33"/>
        <v>31956.587333810494</v>
      </c>
      <c r="CF40" s="205">
        <f t="shared" si="33"/>
        <v>31956.587333810494</v>
      </c>
      <c r="CG40" s="205">
        <f t="shared" si="33"/>
        <v>31956.587333810494</v>
      </c>
      <c r="CH40" s="205">
        <f t="shared" si="33"/>
        <v>31956.587333810494</v>
      </c>
      <c r="CI40" s="205">
        <f t="shared" si="33"/>
        <v>31956.587333810494</v>
      </c>
      <c r="CJ40" s="205">
        <f t="shared" si="33"/>
        <v>31956.587333810494</v>
      </c>
      <c r="CK40" s="205">
        <f t="shared" si="33"/>
        <v>31956.587333810494</v>
      </c>
      <c r="CL40" s="205">
        <f t="shared" si="33"/>
        <v>31956.587333810494</v>
      </c>
      <c r="CM40" s="205">
        <f t="shared" si="33"/>
        <v>31956.587333810494</v>
      </c>
      <c r="CN40" s="205">
        <f t="shared" si="33"/>
        <v>31956.587333810494</v>
      </c>
      <c r="CO40" s="205">
        <f t="shared" si="33"/>
        <v>31956.587333810494</v>
      </c>
      <c r="CP40" s="205">
        <f t="shared" si="33"/>
        <v>31956.587333810494</v>
      </c>
      <c r="CQ40" s="205">
        <f t="shared" si="33"/>
        <v>31956.587333810494</v>
      </c>
      <c r="CR40" s="205">
        <f t="shared" si="33"/>
        <v>31956.587333810494</v>
      </c>
      <c r="CS40" s="205">
        <f t="shared" si="34"/>
        <v>31956.587333810494</v>
      </c>
      <c r="CT40" s="205">
        <f t="shared" si="34"/>
        <v>31956.587333810494</v>
      </c>
      <c r="CU40" s="205">
        <f t="shared" si="34"/>
        <v>31956.587333810494</v>
      </c>
      <c r="CV40" s="205">
        <f t="shared" si="34"/>
        <v>31956.587333810494</v>
      </c>
      <c r="CW40" s="205">
        <f t="shared" si="34"/>
        <v>31956.587333810494</v>
      </c>
      <c r="CX40" s="205">
        <f t="shared" si="34"/>
        <v>31956.587333810494</v>
      </c>
      <c r="CY40" s="205">
        <f t="shared" si="34"/>
        <v>31956.587333810494</v>
      </c>
      <c r="CZ40" s="205">
        <f t="shared" si="34"/>
        <v>31956.587333810494</v>
      </c>
      <c r="DA40" s="205">
        <f t="shared" si="34"/>
        <v>31956.587333810494</v>
      </c>
    </row>
    <row r="42" spans="1:105">
      <c r="A42" s="202" t="str">
        <f>Income!A72</f>
        <v>Own crops Consumed</v>
      </c>
      <c r="F42" s="211">
        <f t="shared" ref="F42:AK42" si="36">IF(F$22&lt;=$E$24,IF(F$22&lt;=$D$24,IF(F$22&lt;=$C$24,IF(F$22&lt;=$B$24,$B108,($C25-$B25)/($C$24-$B$24)),($D25-$C25)/($D$24-$C$24)),($E25-$D25)/($E$24-$D$24)),$F108)</f>
        <v>0</v>
      </c>
      <c r="G42" s="211">
        <f t="shared" si="36"/>
        <v>0</v>
      </c>
      <c r="H42" s="211">
        <f t="shared" si="36"/>
        <v>0</v>
      </c>
      <c r="I42" s="211">
        <f t="shared" si="36"/>
        <v>0</v>
      </c>
      <c r="J42" s="211">
        <f t="shared" si="36"/>
        <v>0</v>
      </c>
      <c r="K42" s="211">
        <f t="shared" si="36"/>
        <v>0</v>
      </c>
      <c r="L42" s="211">
        <f t="shared" si="36"/>
        <v>0</v>
      </c>
      <c r="M42" s="211">
        <f t="shared" si="36"/>
        <v>0</v>
      </c>
      <c r="N42" s="211">
        <f t="shared" si="36"/>
        <v>0</v>
      </c>
      <c r="O42" s="211">
        <f t="shared" si="36"/>
        <v>0</v>
      </c>
      <c r="P42" s="211">
        <f t="shared" si="36"/>
        <v>0</v>
      </c>
      <c r="Q42" s="211">
        <f t="shared" si="36"/>
        <v>0</v>
      </c>
      <c r="R42" s="211">
        <f t="shared" si="36"/>
        <v>0</v>
      </c>
      <c r="S42" s="211">
        <f t="shared" si="36"/>
        <v>0</v>
      </c>
      <c r="T42" s="211">
        <f t="shared" si="36"/>
        <v>0</v>
      </c>
      <c r="U42" s="211">
        <f t="shared" si="36"/>
        <v>0</v>
      </c>
      <c r="V42" s="211">
        <f t="shared" si="36"/>
        <v>0</v>
      </c>
      <c r="W42" s="211">
        <f t="shared" si="36"/>
        <v>0</v>
      </c>
      <c r="X42" s="211">
        <f t="shared" si="36"/>
        <v>0</v>
      </c>
      <c r="Y42" s="211">
        <f t="shared" si="36"/>
        <v>0</v>
      </c>
      <c r="Z42" s="211">
        <f t="shared" si="36"/>
        <v>0</v>
      </c>
      <c r="AA42" s="211">
        <f t="shared" si="36"/>
        <v>0</v>
      </c>
      <c r="AB42" s="211">
        <f t="shared" si="36"/>
        <v>0</v>
      </c>
      <c r="AC42" s="211">
        <f t="shared" si="36"/>
        <v>0</v>
      </c>
      <c r="AD42" s="211">
        <f t="shared" si="36"/>
        <v>0</v>
      </c>
      <c r="AE42" s="211">
        <f t="shared" si="36"/>
        <v>33.477584846093144</v>
      </c>
      <c r="AF42" s="211">
        <f t="shared" si="36"/>
        <v>33.477584846093144</v>
      </c>
      <c r="AG42" s="211">
        <f t="shared" si="36"/>
        <v>33.477584846093144</v>
      </c>
      <c r="AH42" s="211">
        <f t="shared" si="36"/>
        <v>33.477584846093144</v>
      </c>
      <c r="AI42" s="211">
        <f t="shared" si="36"/>
        <v>33.477584846093144</v>
      </c>
      <c r="AJ42" s="211">
        <f t="shared" si="36"/>
        <v>33.477584846093144</v>
      </c>
      <c r="AK42" s="211">
        <f t="shared" si="36"/>
        <v>33.477584846093144</v>
      </c>
      <c r="AL42" s="211">
        <f t="shared" ref="AL42:BQ42" si="37">IF(AL$22&lt;=$E$24,IF(AL$22&lt;=$D$24,IF(AL$22&lt;=$C$24,IF(AL$22&lt;=$B$24,$B108,($C25-$B25)/($C$24-$B$24)),($D25-$C25)/($D$24-$C$24)),($E25-$D25)/($E$24-$D$24)),$F108)</f>
        <v>33.477584846093144</v>
      </c>
      <c r="AM42" s="211">
        <f t="shared" si="37"/>
        <v>33.477584846093144</v>
      </c>
      <c r="AN42" s="211">
        <f t="shared" si="37"/>
        <v>33.477584846093144</v>
      </c>
      <c r="AO42" s="211">
        <f t="shared" si="37"/>
        <v>33.477584846093144</v>
      </c>
      <c r="AP42" s="211">
        <f t="shared" si="37"/>
        <v>33.477584846093144</v>
      </c>
      <c r="AQ42" s="211">
        <f t="shared" si="37"/>
        <v>33.477584846093144</v>
      </c>
      <c r="AR42" s="211">
        <f t="shared" si="37"/>
        <v>33.477584846093144</v>
      </c>
      <c r="AS42" s="211">
        <f t="shared" si="37"/>
        <v>33.477584846093144</v>
      </c>
      <c r="AT42" s="211">
        <f t="shared" si="37"/>
        <v>33.477584846093144</v>
      </c>
      <c r="AU42" s="211">
        <f t="shared" si="37"/>
        <v>33.477584846093144</v>
      </c>
      <c r="AV42" s="211">
        <f t="shared" si="37"/>
        <v>33.477584846093144</v>
      </c>
      <c r="AW42" s="211">
        <f t="shared" si="37"/>
        <v>33.477584846093144</v>
      </c>
      <c r="AX42" s="211">
        <f t="shared" si="37"/>
        <v>33.477584846093144</v>
      </c>
      <c r="AY42" s="211">
        <f t="shared" si="37"/>
        <v>33.477584846093144</v>
      </c>
      <c r="AZ42" s="211">
        <f t="shared" si="37"/>
        <v>33.477584846093144</v>
      </c>
      <c r="BA42" s="211">
        <f t="shared" si="37"/>
        <v>33.477584846093144</v>
      </c>
      <c r="BB42" s="211">
        <f t="shared" si="37"/>
        <v>33.477584846093144</v>
      </c>
      <c r="BC42" s="211">
        <f t="shared" si="37"/>
        <v>33.477584846093144</v>
      </c>
      <c r="BD42" s="211">
        <f t="shared" si="37"/>
        <v>4.7986000000000217</v>
      </c>
      <c r="BE42" s="211">
        <f t="shared" si="37"/>
        <v>4.7986000000000217</v>
      </c>
      <c r="BF42" s="211">
        <f t="shared" si="37"/>
        <v>4.7986000000000217</v>
      </c>
      <c r="BG42" s="211">
        <f t="shared" si="37"/>
        <v>4.7986000000000217</v>
      </c>
      <c r="BH42" s="211">
        <f t="shared" si="37"/>
        <v>4.7986000000000217</v>
      </c>
      <c r="BI42" s="211">
        <f t="shared" si="37"/>
        <v>4.7986000000000217</v>
      </c>
      <c r="BJ42" s="211">
        <f t="shared" si="37"/>
        <v>4.7986000000000217</v>
      </c>
      <c r="BK42" s="211">
        <f t="shared" si="37"/>
        <v>4.7986000000000217</v>
      </c>
      <c r="BL42" s="211">
        <f t="shared" si="37"/>
        <v>4.7986000000000217</v>
      </c>
      <c r="BM42" s="211">
        <f t="shared" si="37"/>
        <v>4.7986000000000217</v>
      </c>
      <c r="BN42" s="211">
        <f t="shared" si="37"/>
        <v>4.7986000000000217</v>
      </c>
      <c r="BO42" s="211">
        <f t="shared" si="37"/>
        <v>4.7986000000000217</v>
      </c>
      <c r="BP42" s="211">
        <f t="shared" si="37"/>
        <v>4.7986000000000217</v>
      </c>
      <c r="BQ42" s="211">
        <f t="shared" si="37"/>
        <v>4.7986000000000217</v>
      </c>
      <c r="BR42" s="211">
        <f t="shared" ref="BR42:DA42" si="38">IF(BR$22&lt;=$E$24,IF(BR$22&lt;=$D$24,IF(BR$22&lt;=$C$24,IF(BR$22&lt;=$B$24,$B108,($C25-$B25)/($C$24-$B$24)),($D25-$C25)/($D$24-$C$24)),($E25-$D25)/($E$24-$D$24)),$F108)</f>
        <v>4.7986000000000217</v>
      </c>
      <c r="BS42" s="211">
        <f t="shared" si="38"/>
        <v>4.7986000000000217</v>
      </c>
      <c r="BT42" s="211">
        <f t="shared" si="38"/>
        <v>4.7986000000000217</v>
      </c>
      <c r="BU42" s="211">
        <f t="shared" si="38"/>
        <v>4.7986000000000217</v>
      </c>
      <c r="BV42" s="211">
        <f t="shared" si="38"/>
        <v>4.7986000000000217</v>
      </c>
      <c r="BW42" s="211">
        <f t="shared" si="38"/>
        <v>4.7986000000000217</v>
      </c>
      <c r="BX42" s="211">
        <f t="shared" si="38"/>
        <v>4.7986000000000217</v>
      </c>
      <c r="BY42" s="211">
        <f t="shared" si="38"/>
        <v>4.7986000000000217</v>
      </c>
      <c r="BZ42" s="211">
        <f t="shared" si="38"/>
        <v>4.7986000000000217</v>
      </c>
      <c r="CA42" s="211">
        <f t="shared" si="38"/>
        <v>4.7986000000000217</v>
      </c>
      <c r="CB42" s="211">
        <f t="shared" si="38"/>
        <v>4.7986000000000217</v>
      </c>
      <c r="CC42" s="211">
        <f t="shared" si="38"/>
        <v>4.7986000000000217</v>
      </c>
      <c r="CD42" s="211">
        <f t="shared" si="38"/>
        <v>4.7986000000000217</v>
      </c>
      <c r="CE42" s="211">
        <f t="shared" si="38"/>
        <v>4.7986000000000217</v>
      </c>
      <c r="CF42" s="211">
        <f t="shared" si="38"/>
        <v>4.7986000000000217</v>
      </c>
      <c r="CG42" s="211">
        <f t="shared" si="38"/>
        <v>4.7986000000000217</v>
      </c>
      <c r="CH42" s="211">
        <f t="shared" si="38"/>
        <v>4.7986000000000217</v>
      </c>
      <c r="CI42" s="211">
        <f t="shared" si="38"/>
        <v>4.7986000000000217</v>
      </c>
      <c r="CJ42" s="211">
        <f t="shared" si="38"/>
        <v>4.7986000000000217</v>
      </c>
      <c r="CK42" s="211">
        <f t="shared" si="38"/>
        <v>4.7986000000000217</v>
      </c>
      <c r="CL42" s="211">
        <f t="shared" si="38"/>
        <v>4.7986000000000217</v>
      </c>
      <c r="CM42" s="211">
        <f t="shared" si="38"/>
        <v>4.7986000000000217</v>
      </c>
      <c r="CN42" s="211">
        <f t="shared" si="38"/>
        <v>4.7986000000000217</v>
      </c>
      <c r="CO42" s="211">
        <f t="shared" si="38"/>
        <v>4.7986000000000217</v>
      </c>
      <c r="CP42" s="211">
        <f t="shared" si="38"/>
        <v>4.7986000000000217</v>
      </c>
      <c r="CQ42" s="211">
        <f t="shared" si="38"/>
        <v>4.7986000000000217</v>
      </c>
      <c r="CR42" s="211">
        <f t="shared" si="38"/>
        <v>4.7986000000000217</v>
      </c>
      <c r="CS42" s="211">
        <f t="shared" si="38"/>
        <v>4.7986000000000217</v>
      </c>
      <c r="CT42" s="211">
        <f t="shared" si="38"/>
        <v>4.7986000000000217</v>
      </c>
      <c r="CU42" s="211">
        <f t="shared" si="38"/>
        <v>4.7986000000000217</v>
      </c>
      <c r="CV42" s="211">
        <f t="shared" si="38"/>
        <v>4.7986000000000217</v>
      </c>
      <c r="CW42" s="211">
        <f t="shared" si="38"/>
        <v>4.7986000000000217</v>
      </c>
      <c r="CX42" s="211">
        <f t="shared" si="38"/>
        <v>4.7986000000000217</v>
      </c>
      <c r="CY42" s="211">
        <f t="shared" si="38"/>
        <v>4.7986000000000217</v>
      </c>
      <c r="CZ42" s="211">
        <f t="shared" si="38"/>
        <v>4.7986000000000217</v>
      </c>
      <c r="DA42" s="211">
        <f t="shared" si="38"/>
        <v>4.7986000000000217</v>
      </c>
    </row>
    <row r="43" spans="1:105">
      <c r="A43" s="202" t="str">
        <f>Income!A73</f>
        <v>Own crops sold</v>
      </c>
      <c r="F43" s="211">
        <f t="shared" ref="F43:AK43" si="39">IF(F$22&lt;=$E$24,IF(F$22&lt;=$D$24,IF(F$22&lt;=$C$24,IF(F$22&lt;=$B$24,$B109,($C26-$B26)/($C$24-$B$24)),($D26-$C26)/($D$24-$C$24)),($E26-$D26)/($E$24-$D$24)),$F109)</f>
        <v>340.26</v>
      </c>
      <c r="G43" s="211">
        <f t="shared" si="39"/>
        <v>340.26</v>
      </c>
      <c r="H43" s="211">
        <f t="shared" si="39"/>
        <v>340.26</v>
      </c>
      <c r="I43" s="211">
        <f t="shared" si="39"/>
        <v>340.26</v>
      </c>
      <c r="J43" s="211">
        <f t="shared" si="39"/>
        <v>340.26</v>
      </c>
      <c r="K43" s="211">
        <f t="shared" si="39"/>
        <v>340.26</v>
      </c>
      <c r="L43" s="211">
        <f>IF(L$22&lt;=$E$24,IF(L$22&lt;=$D$24,IF(L$22&lt;=$C$24,IF(L$22&lt;=$B$24,$B109,($C26-$B26)/($C$24-$B$24)),($D26-$C26)/($D$24-$C$24)),($E26-$D26)/($E$24-$D$24)),$F109)</f>
        <v>340.26</v>
      </c>
      <c r="M43" s="211">
        <f t="shared" si="39"/>
        <v>340.26</v>
      </c>
      <c r="N43" s="211">
        <f t="shared" si="39"/>
        <v>340.26</v>
      </c>
      <c r="O43" s="211">
        <f t="shared" si="39"/>
        <v>340.26</v>
      </c>
      <c r="P43" s="211">
        <f t="shared" si="39"/>
        <v>340.26</v>
      </c>
      <c r="Q43" s="211">
        <f t="shared" si="39"/>
        <v>340.26</v>
      </c>
      <c r="R43" s="211">
        <f t="shared" si="39"/>
        <v>340.26</v>
      </c>
      <c r="S43" s="211">
        <f t="shared" si="39"/>
        <v>340.26</v>
      </c>
      <c r="T43" s="211">
        <f t="shared" si="39"/>
        <v>340.26</v>
      </c>
      <c r="U43" s="211">
        <f t="shared" si="39"/>
        <v>340.26</v>
      </c>
      <c r="V43" s="211">
        <f t="shared" si="39"/>
        <v>340.26</v>
      </c>
      <c r="W43" s="211">
        <f t="shared" si="39"/>
        <v>340.26</v>
      </c>
      <c r="X43" s="211">
        <f t="shared" si="39"/>
        <v>340.26</v>
      </c>
      <c r="Y43" s="211">
        <f t="shared" si="39"/>
        <v>340.26</v>
      </c>
      <c r="Z43" s="211">
        <f t="shared" si="39"/>
        <v>340.26</v>
      </c>
      <c r="AA43" s="211">
        <f t="shared" si="39"/>
        <v>340.26</v>
      </c>
      <c r="AB43" s="211">
        <f t="shared" si="39"/>
        <v>340.26</v>
      </c>
      <c r="AC43" s="211">
        <f t="shared" si="39"/>
        <v>340.26</v>
      </c>
      <c r="AD43" s="211">
        <f t="shared" si="39"/>
        <v>340.26</v>
      </c>
      <c r="AE43" s="211">
        <f t="shared" si="39"/>
        <v>0</v>
      </c>
      <c r="AF43" s="211">
        <f t="shared" si="39"/>
        <v>0</v>
      </c>
      <c r="AG43" s="211">
        <f t="shared" si="39"/>
        <v>0</v>
      </c>
      <c r="AH43" s="211">
        <f t="shared" si="39"/>
        <v>0</v>
      </c>
      <c r="AI43" s="211">
        <f t="shared" si="39"/>
        <v>0</v>
      </c>
      <c r="AJ43" s="211">
        <f t="shared" si="39"/>
        <v>0</v>
      </c>
      <c r="AK43" s="211">
        <f t="shared" si="39"/>
        <v>0</v>
      </c>
      <c r="AL43" s="211">
        <f t="shared" ref="AL43:BQ43" si="40">IF(AL$22&lt;=$E$24,IF(AL$22&lt;=$D$24,IF(AL$22&lt;=$C$24,IF(AL$22&lt;=$B$24,$B109,($C26-$B26)/($C$24-$B$24)),($D26-$C26)/($D$24-$C$24)),($E26-$D26)/($E$24-$D$24)),$F109)</f>
        <v>0</v>
      </c>
      <c r="AM43" s="211">
        <f t="shared" si="40"/>
        <v>0</v>
      </c>
      <c r="AN43" s="211">
        <f t="shared" si="40"/>
        <v>0</v>
      </c>
      <c r="AO43" s="211">
        <f t="shared" si="40"/>
        <v>0</v>
      </c>
      <c r="AP43" s="211">
        <f t="shared" si="40"/>
        <v>0</v>
      </c>
      <c r="AQ43" s="211">
        <f t="shared" si="40"/>
        <v>0</v>
      </c>
      <c r="AR43" s="211">
        <f t="shared" si="40"/>
        <v>0</v>
      </c>
      <c r="AS43" s="211">
        <f t="shared" si="40"/>
        <v>0</v>
      </c>
      <c r="AT43" s="211">
        <f t="shared" si="40"/>
        <v>0</v>
      </c>
      <c r="AU43" s="211">
        <f t="shared" si="40"/>
        <v>0</v>
      </c>
      <c r="AV43" s="211">
        <f t="shared" si="40"/>
        <v>0</v>
      </c>
      <c r="AW43" s="211">
        <f t="shared" si="40"/>
        <v>0</v>
      </c>
      <c r="AX43" s="211">
        <f t="shared" si="40"/>
        <v>0</v>
      </c>
      <c r="AY43" s="211">
        <f t="shared" si="40"/>
        <v>0</v>
      </c>
      <c r="AZ43" s="211">
        <f t="shared" si="40"/>
        <v>0</v>
      </c>
      <c r="BA43" s="211">
        <f t="shared" si="40"/>
        <v>0</v>
      </c>
      <c r="BB43" s="211">
        <f t="shared" si="40"/>
        <v>0</v>
      </c>
      <c r="BC43" s="211">
        <f t="shared" si="40"/>
        <v>0</v>
      </c>
      <c r="BD43" s="211">
        <f t="shared" si="40"/>
        <v>-33.31110000000001</v>
      </c>
      <c r="BE43" s="211">
        <f t="shared" si="40"/>
        <v>-33.31110000000001</v>
      </c>
      <c r="BF43" s="211">
        <f t="shared" si="40"/>
        <v>-33.31110000000001</v>
      </c>
      <c r="BG43" s="211">
        <f t="shared" si="40"/>
        <v>-33.31110000000001</v>
      </c>
      <c r="BH43" s="211">
        <f t="shared" si="40"/>
        <v>-33.31110000000001</v>
      </c>
      <c r="BI43" s="211">
        <f t="shared" si="40"/>
        <v>-33.31110000000001</v>
      </c>
      <c r="BJ43" s="211">
        <f t="shared" si="40"/>
        <v>-33.31110000000001</v>
      </c>
      <c r="BK43" s="211">
        <f t="shared" si="40"/>
        <v>-33.31110000000001</v>
      </c>
      <c r="BL43" s="211">
        <f t="shared" si="40"/>
        <v>-33.31110000000001</v>
      </c>
      <c r="BM43" s="211">
        <f t="shared" si="40"/>
        <v>-33.31110000000001</v>
      </c>
      <c r="BN43" s="211">
        <f t="shared" si="40"/>
        <v>-33.31110000000001</v>
      </c>
      <c r="BO43" s="211">
        <f t="shared" si="40"/>
        <v>-33.31110000000001</v>
      </c>
      <c r="BP43" s="211">
        <f t="shared" si="40"/>
        <v>-33.31110000000001</v>
      </c>
      <c r="BQ43" s="211">
        <f t="shared" si="40"/>
        <v>-33.31110000000001</v>
      </c>
      <c r="BR43" s="211">
        <f t="shared" ref="BR43:DA43" si="41">IF(BR$22&lt;=$E$24,IF(BR$22&lt;=$D$24,IF(BR$22&lt;=$C$24,IF(BR$22&lt;=$B$24,$B109,($C26-$B26)/($C$24-$B$24)),($D26-$C26)/($D$24-$C$24)),($E26-$D26)/($E$24-$D$24)),$F109)</f>
        <v>-33.31110000000001</v>
      </c>
      <c r="BS43" s="211">
        <f t="shared" si="41"/>
        <v>-33.31110000000001</v>
      </c>
      <c r="BT43" s="211">
        <f t="shared" si="41"/>
        <v>-33.31110000000001</v>
      </c>
      <c r="BU43" s="211">
        <f t="shared" si="41"/>
        <v>-33.31110000000001</v>
      </c>
      <c r="BV43" s="211">
        <f t="shared" si="41"/>
        <v>-33.31110000000001</v>
      </c>
      <c r="BW43" s="211">
        <f t="shared" si="41"/>
        <v>-33.31110000000001</v>
      </c>
      <c r="BX43" s="211">
        <f t="shared" si="41"/>
        <v>-33.31110000000001</v>
      </c>
      <c r="BY43" s="211">
        <f t="shared" si="41"/>
        <v>-33.31110000000001</v>
      </c>
      <c r="BZ43" s="211">
        <f t="shared" si="41"/>
        <v>-33.31110000000001</v>
      </c>
      <c r="CA43" s="211">
        <f t="shared" si="41"/>
        <v>-33.31110000000001</v>
      </c>
      <c r="CB43" s="211">
        <f t="shared" si="41"/>
        <v>-33.31110000000001</v>
      </c>
      <c r="CC43" s="211">
        <f t="shared" si="41"/>
        <v>-33.31110000000001</v>
      </c>
      <c r="CD43" s="211">
        <f t="shared" si="41"/>
        <v>-33.31110000000001</v>
      </c>
      <c r="CE43" s="211">
        <f t="shared" si="41"/>
        <v>-33.31110000000001</v>
      </c>
      <c r="CF43" s="211">
        <f t="shared" si="41"/>
        <v>-33.31110000000001</v>
      </c>
      <c r="CG43" s="211">
        <f t="shared" si="41"/>
        <v>-33.31110000000001</v>
      </c>
      <c r="CH43" s="211">
        <f t="shared" si="41"/>
        <v>-33.31110000000001</v>
      </c>
      <c r="CI43" s="211">
        <f t="shared" si="41"/>
        <v>-33.31110000000001</v>
      </c>
      <c r="CJ43" s="211">
        <f t="shared" si="41"/>
        <v>-33.31110000000001</v>
      </c>
      <c r="CK43" s="211">
        <f t="shared" si="41"/>
        <v>-33.31110000000001</v>
      </c>
      <c r="CL43" s="211">
        <f t="shared" si="41"/>
        <v>-33.31110000000001</v>
      </c>
      <c r="CM43" s="211">
        <f t="shared" si="41"/>
        <v>-33.31110000000001</v>
      </c>
      <c r="CN43" s="211">
        <f t="shared" si="41"/>
        <v>-33.31110000000001</v>
      </c>
      <c r="CO43" s="211">
        <f t="shared" si="41"/>
        <v>-33.31110000000001</v>
      </c>
      <c r="CP43" s="211">
        <f t="shared" si="41"/>
        <v>-33.31110000000001</v>
      </c>
      <c r="CQ43" s="211">
        <f t="shared" si="41"/>
        <v>-33.31110000000001</v>
      </c>
      <c r="CR43" s="211">
        <f t="shared" si="41"/>
        <v>-33.31110000000001</v>
      </c>
      <c r="CS43" s="211">
        <f t="shared" si="41"/>
        <v>-33.31110000000001</v>
      </c>
      <c r="CT43" s="211">
        <f t="shared" si="41"/>
        <v>-33.31110000000001</v>
      </c>
      <c r="CU43" s="211">
        <f t="shared" si="41"/>
        <v>-33.31110000000001</v>
      </c>
      <c r="CV43" s="211">
        <f t="shared" si="41"/>
        <v>-33.31110000000001</v>
      </c>
      <c r="CW43" s="211">
        <f t="shared" si="41"/>
        <v>-33.31110000000001</v>
      </c>
      <c r="CX43" s="211">
        <f t="shared" si="41"/>
        <v>-33.31110000000001</v>
      </c>
      <c r="CY43" s="211">
        <f t="shared" si="41"/>
        <v>-33.31110000000001</v>
      </c>
      <c r="CZ43" s="211">
        <f t="shared" si="41"/>
        <v>-33.31110000000001</v>
      </c>
      <c r="DA43" s="211">
        <f t="shared" si="41"/>
        <v>-33.31110000000001</v>
      </c>
    </row>
    <row r="44" spans="1:105">
      <c r="A44" s="202" t="str">
        <f>Income!A74</f>
        <v>Animal products consumed</v>
      </c>
      <c r="F44" s="211">
        <f t="shared" ref="F44:AK44" si="42">IF(F$22&lt;=$E$24,IF(F$22&lt;=$D$24,IF(F$22&lt;=$C$24,IF(F$22&lt;=$B$24,$B110,($C27-$B27)/($C$24-$B$24)),($D27-$C27)/($D$24-$C$24)),($E27-$D27)/($E$24-$D$24)),$F110)</f>
        <v>0</v>
      </c>
      <c r="G44" s="211">
        <f t="shared" si="42"/>
        <v>0</v>
      </c>
      <c r="H44" s="211">
        <f t="shared" si="42"/>
        <v>0</v>
      </c>
      <c r="I44" s="211">
        <f t="shared" si="42"/>
        <v>0</v>
      </c>
      <c r="J44" s="211">
        <f t="shared" si="42"/>
        <v>0</v>
      </c>
      <c r="K44" s="211">
        <f t="shared" si="42"/>
        <v>0</v>
      </c>
      <c r="L44" s="211">
        <f t="shared" si="42"/>
        <v>0</v>
      </c>
      <c r="M44" s="211">
        <f t="shared" si="42"/>
        <v>0</v>
      </c>
      <c r="N44" s="211">
        <f t="shared" si="42"/>
        <v>0</v>
      </c>
      <c r="O44" s="211">
        <f t="shared" si="42"/>
        <v>0</v>
      </c>
      <c r="P44" s="211">
        <f t="shared" si="42"/>
        <v>0</v>
      </c>
      <c r="Q44" s="211">
        <f t="shared" si="42"/>
        <v>0</v>
      </c>
      <c r="R44" s="211">
        <f t="shared" si="42"/>
        <v>0</v>
      </c>
      <c r="S44" s="211">
        <f t="shared" si="42"/>
        <v>0</v>
      </c>
      <c r="T44" s="211">
        <f t="shared" si="42"/>
        <v>0</v>
      </c>
      <c r="U44" s="211">
        <f t="shared" si="42"/>
        <v>0</v>
      </c>
      <c r="V44" s="211">
        <f t="shared" si="42"/>
        <v>0</v>
      </c>
      <c r="W44" s="211">
        <f t="shared" si="42"/>
        <v>0</v>
      </c>
      <c r="X44" s="211">
        <f t="shared" si="42"/>
        <v>0</v>
      </c>
      <c r="Y44" s="211">
        <f t="shared" si="42"/>
        <v>0</v>
      </c>
      <c r="Z44" s="211">
        <f t="shared" si="42"/>
        <v>0</v>
      </c>
      <c r="AA44" s="211">
        <f t="shared" si="42"/>
        <v>0</v>
      </c>
      <c r="AB44" s="211">
        <f t="shared" si="42"/>
        <v>0</v>
      </c>
      <c r="AC44" s="211">
        <f t="shared" si="42"/>
        <v>0</v>
      </c>
      <c r="AD44" s="211">
        <f t="shared" si="42"/>
        <v>0</v>
      </c>
      <c r="AE44" s="211">
        <f t="shared" si="42"/>
        <v>0.92253520648840415</v>
      </c>
      <c r="AF44" s="211">
        <f t="shared" si="42"/>
        <v>0.92253520648840415</v>
      </c>
      <c r="AG44" s="211">
        <f t="shared" si="42"/>
        <v>0.92253520648840415</v>
      </c>
      <c r="AH44" s="211">
        <f t="shared" si="42"/>
        <v>0.92253520648840415</v>
      </c>
      <c r="AI44" s="211">
        <f t="shared" si="42"/>
        <v>0.92253520648840415</v>
      </c>
      <c r="AJ44" s="211">
        <f t="shared" si="42"/>
        <v>0.92253520648840415</v>
      </c>
      <c r="AK44" s="211">
        <f t="shared" si="42"/>
        <v>0.92253520648840415</v>
      </c>
      <c r="AL44" s="211">
        <f t="shared" ref="AL44:BQ44" si="43">IF(AL$22&lt;=$E$24,IF(AL$22&lt;=$D$24,IF(AL$22&lt;=$C$24,IF(AL$22&lt;=$B$24,$B110,($C27-$B27)/($C$24-$B$24)),($D27-$C27)/($D$24-$C$24)),($E27-$D27)/($E$24-$D$24)),$F110)</f>
        <v>0.92253520648840415</v>
      </c>
      <c r="AM44" s="211">
        <f t="shared" si="43"/>
        <v>0.92253520648840415</v>
      </c>
      <c r="AN44" s="211">
        <f t="shared" si="43"/>
        <v>0.92253520648840415</v>
      </c>
      <c r="AO44" s="211">
        <f t="shared" si="43"/>
        <v>0.92253520648840415</v>
      </c>
      <c r="AP44" s="211">
        <f t="shared" si="43"/>
        <v>0.92253520648840415</v>
      </c>
      <c r="AQ44" s="211">
        <f t="shared" si="43"/>
        <v>0.92253520648840415</v>
      </c>
      <c r="AR44" s="211">
        <f t="shared" si="43"/>
        <v>0.92253520648840415</v>
      </c>
      <c r="AS44" s="211">
        <f t="shared" si="43"/>
        <v>0.92253520648840415</v>
      </c>
      <c r="AT44" s="211">
        <f t="shared" si="43"/>
        <v>0.92253520648840415</v>
      </c>
      <c r="AU44" s="211">
        <f t="shared" si="43"/>
        <v>0.92253520648840415</v>
      </c>
      <c r="AV44" s="211">
        <f t="shared" si="43"/>
        <v>0.92253520648840415</v>
      </c>
      <c r="AW44" s="211">
        <f t="shared" si="43"/>
        <v>0.92253520648840415</v>
      </c>
      <c r="AX44" s="211">
        <f t="shared" si="43"/>
        <v>0.92253520648840415</v>
      </c>
      <c r="AY44" s="211">
        <f t="shared" si="43"/>
        <v>0.92253520648840415</v>
      </c>
      <c r="AZ44" s="211">
        <f t="shared" si="43"/>
        <v>0.92253520648840415</v>
      </c>
      <c r="BA44" s="211">
        <f t="shared" si="43"/>
        <v>0.92253520648840415</v>
      </c>
      <c r="BB44" s="211">
        <f t="shared" si="43"/>
        <v>0.92253520648840415</v>
      </c>
      <c r="BC44" s="211">
        <f t="shared" si="43"/>
        <v>0.92253520648840415</v>
      </c>
      <c r="BD44" s="211">
        <f t="shared" si="43"/>
        <v>8.7981999999999978</v>
      </c>
      <c r="BE44" s="211">
        <f t="shared" si="43"/>
        <v>8.7981999999999978</v>
      </c>
      <c r="BF44" s="211">
        <f t="shared" si="43"/>
        <v>8.7981999999999978</v>
      </c>
      <c r="BG44" s="211">
        <f t="shared" si="43"/>
        <v>8.7981999999999978</v>
      </c>
      <c r="BH44" s="211">
        <f t="shared" si="43"/>
        <v>8.7981999999999978</v>
      </c>
      <c r="BI44" s="211">
        <f t="shared" si="43"/>
        <v>8.7981999999999978</v>
      </c>
      <c r="BJ44" s="211">
        <f t="shared" si="43"/>
        <v>8.7981999999999978</v>
      </c>
      <c r="BK44" s="211">
        <f t="shared" si="43"/>
        <v>8.7981999999999978</v>
      </c>
      <c r="BL44" s="211">
        <f t="shared" si="43"/>
        <v>8.7981999999999978</v>
      </c>
      <c r="BM44" s="211">
        <f t="shared" si="43"/>
        <v>8.7981999999999978</v>
      </c>
      <c r="BN44" s="211">
        <f t="shared" si="43"/>
        <v>8.7981999999999978</v>
      </c>
      <c r="BO44" s="211">
        <f t="shared" si="43"/>
        <v>8.7981999999999978</v>
      </c>
      <c r="BP44" s="211">
        <f t="shared" si="43"/>
        <v>8.7981999999999978</v>
      </c>
      <c r="BQ44" s="211">
        <f t="shared" si="43"/>
        <v>8.7981999999999978</v>
      </c>
      <c r="BR44" s="211">
        <f t="shared" ref="BR44:DA44" si="44">IF(BR$22&lt;=$E$24,IF(BR$22&lt;=$D$24,IF(BR$22&lt;=$C$24,IF(BR$22&lt;=$B$24,$B110,($C27-$B27)/($C$24-$B$24)),($D27-$C27)/($D$24-$C$24)),($E27-$D27)/($E$24-$D$24)),$F110)</f>
        <v>8.7981999999999978</v>
      </c>
      <c r="BS44" s="211">
        <f t="shared" si="44"/>
        <v>8.7981999999999978</v>
      </c>
      <c r="BT44" s="211">
        <f t="shared" si="44"/>
        <v>8.7981999999999978</v>
      </c>
      <c r="BU44" s="211">
        <f t="shared" si="44"/>
        <v>8.7981999999999978</v>
      </c>
      <c r="BV44" s="211">
        <f t="shared" si="44"/>
        <v>8.7981999999999978</v>
      </c>
      <c r="BW44" s="211">
        <f t="shared" si="44"/>
        <v>8.7981999999999978</v>
      </c>
      <c r="BX44" s="211">
        <f t="shared" si="44"/>
        <v>8.7981999999999978</v>
      </c>
      <c r="BY44" s="211">
        <f t="shared" si="44"/>
        <v>8.7981999999999978</v>
      </c>
      <c r="BZ44" s="211">
        <f t="shared" si="44"/>
        <v>8.7981999999999978</v>
      </c>
      <c r="CA44" s="211">
        <f t="shared" si="44"/>
        <v>8.7981999999999978</v>
      </c>
      <c r="CB44" s="211">
        <f t="shared" si="44"/>
        <v>8.7981999999999978</v>
      </c>
      <c r="CC44" s="211">
        <f t="shared" si="44"/>
        <v>8.7981999999999978</v>
      </c>
      <c r="CD44" s="211">
        <f t="shared" si="44"/>
        <v>8.7981999999999978</v>
      </c>
      <c r="CE44" s="211">
        <f t="shared" si="44"/>
        <v>8.7981999999999978</v>
      </c>
      <c r="CF44" s="211">
        <f t="shared" si="44"/>
        <v>8.7981999999999978</v>
      </c>
      <c r="CG44" s="211">
        <f t="shared" si="44"/>
        <v>8.7981999999999978</v>
      </c>
      <c r="CH44" s="211">
        <f t="shared" si="44"/>
        <v>8.7981999999999978</v>
      </c>
      <c r="CI44" s="211">
        <f t="shared" si="44"/>
        <v>8.7981999999999978</v>
      </c>
      <c r="CJ44" s="211">
        <f t="shared" si="44"/>
        <v>8.7981999999999978</v>
      </c>
      <c r="CK44" s="211">
        <f t="shared" si="44"/>
        <v>8.7981999999999978</v>
      </c>
      <c r="CL44" s="211">
        <f t="shared" si="44"/>
        <v>8.7981999999999978</v>
      </c>
      <c r="CM44" s="211">
        <f t="shared" si="44"/>
        <v>8.7981999999999978</v>
      </c>
      <c r="CN44" s="211">
        <f t="shared" si="44"/>
        <v>8.7981999999999978</v>
      </c>
      <c r="CO44" s="211">
        <f t="shared" si="44"/>
        <v>8.7981999999999978</v>
      </c>
      <c r="CP44" s="211">
        <f t="shared" si="44"/>
        <v>8.7981999999999978</v>
      </c>
      <c r="CQ44" s="211">
        <f t="shared" si="44"/>
        <v>8.7981999999999978</v>
      </c>
      <c r="CR44" s="211">
        <f t="shared" si="44"/>
        <v>8.7981999999999978</v>
      </c>
      <c r="CS44" s="211">
        <f t="shared" si="44"/>
        <v>8.7981999999999978</v>
      </c>
      <c r="CT44" s="211">
        <f t="shared" si="44"/>
        <v>8.7981999999999978</v>
      </c>
      <c r="CU44" s="211">
        <f t="shared" si="44"/>
        <v>8.7981999999999978</v>
      </c>
      <c r="CV44" s="211">
        <f t="shared" si="44"/>
        <v>8.7981999999999978</v>
      </c>
      <c r="CW44" s="211">
        <f t="shared" si="44"/>
        <v>8.7981999999999978</v>
      </c>
      <c r="CX44" s="211">
        <f t="shared" si="44"/>
        <v>8.7981999999999978</v>
      </c>
      <c r="CY44" s="211">
        <f t="shared" si="44"/>
        <v>8.7981999999999978</v>
      </c>
      <c r="CZ44" s="211">
        <f t="shared" si="44"/>
        <v>8.7981999999999978</v>
      </c>
      <c r="DA44" s="211">
        <f t="shared" si="44"/>
        <v>8.7981999999999978</v>
      </c>
    </row>
    <row r="45" spans="1:105">
      <c r="A45" s="202" t="str">
        <f>Income!A75</f>
        <v>Animal products sold</v>
      </c>
      <c r="F45" s="211">
        <f t="shared" ref="F45:AK45" si="45">IF(F$22&lt;=$E$24,IF(F$22&lt;=$D$24,IF(F$22&lt;=$C$24,IF(F$22&lt;=$B$24,$B111,($C28-$B28)/($C$24-$B$24)),($D28-$C28)/($D$24-$C$24)),($E28-$D28)/($E$24-$D$24)),$F111)</f>
        <v>0</v>
      </c>
      <c r="G45" s="211">
        <f t="shared" si="45"/>
        <v>0</v>
      </c>
      <c r="H45" s="211">
        <f t="shared" si="45"/>
        <v>0</v>
      </c>
      <c r="I45" s="211">
        <f t="shared" si="45"/>
        <v>0</v>
      </c>
      <c r="J45" s="211">
        <f t="shared" si="45"/>
        <v>0</v>
      </c>
      <c r="K45" s="211">
        <f t="shared" si="45"/>
        <v>0</v>
      </c>
      <c r="L45" s="211">
        <f t="shared" si="45"/>
        <v>0</v>
      </c>
      <c r="M45" s="211">
        <f t="shared" si="45"/>
        <v>0</v>
      </c>
      <c r="N45" s="211">
        <f t="shared" si="45"/>
        <v>0</v>
      </c>
      <c r="O45" s="211">
        <f t="shared" si="45"/>
        <v>0</v>
      </c>
      <c r="P45" s="211">
        <f t="shared" si="45"/>
        <v>0</v>
      </c>
      <c r="Q45" s="211">
        <f t="shared" si="45"/>
        <v>0</v>
      </c>
      <c r="R45" s="211">
        <f t="shared" si="45"/>
        <v>0</v>
      </c>
      <c r="S45" s="211">
        <f t="shared" si="45"/>
        <v>0</v>
      </c>
      <c r="T45" s="211">
        <f t="shared" si="45"/>
        <v>0</v>
      </c>
      <c r="U45" s="211">
        <f t="shared" si="45"/>
        <v>0</v>
      </c>
      <c r="V45" s="211">
        <f t="shared" si="45"/>
        <v>0</v>
      </c>
      <c r="W45" s="211">
        <f t="shared" si="45"/>
        <v>0</v>
      </c>
      <c r="X45" s="211">
        <f t="shared" si="45"/>
        <v>0</v>
      </c>
      <c r="Y45" s="211">
        <f t="shared" si="45"/>
        <v>0</v>
      </c>
      <c r="Z45" s="211">
        <f t="shared" si="45"/>
        <v>0</v>
      </c>
      <c r="AA45" s="211">
        <f t="shared" si="45"/>
        <v>0</v>
      </c>
      <c r="AB45" s="211">
        <f t="shared" si="45"/>
        <v>0</v>
      </c>
      <c r="AC45" s="211">
        <f t="shared" si="45"/>
        <v>0</v>
      </c>
      <c r="AD45" s="211">
        <f t="shared" si="45"/>
        <v>0</v>
      </c>
      <c r="AE45" s="211">
        <f t="shared" si="45"/>
        <v>0</v>
      </c>
      <c r="AF45" s="211">
        <f t="shared" si="45"/>
        <v>0</v>
      </c>
      <c r="AG45" s="211">
        <f t="shared" si="45"/>
        <v>0</v>
      </c>
      <c r="AH45" s="211">
        <f t="shared" si="45"/>
        <v>0</v>
      </c>
      <c r="AI45" s="211">
        <f t="shared" si="45"/>
        <v>0</v>
      </c>
      <c r="AJ45" s="211">
        <f t="shared" si="45"/>
        <v>0</v>
      </c>
      <c r="AK45" s="211">
        <f t="shared" si="45"/>
        <v>0</v>
      </c>
      <c r="AL45" s="211">
        <f t="shared" ref="AL45:BQ45" si="46">IF(AL$22&lt;=$E$24,IF(AL$22&lt;=$D$24,IF(AL$22&lt;=$C$24,IF(AL$22&lt;=$B$24,$B111,($C28-$B28)/($C$24-$B$24)),($D28-$C28)/($D$24-$C$24)),($E28-$D28)/($E$24-$D$24)),$F111)</f>
        <v>0</v>
      </c>
      <c r="AM45" s="211">
        <f t="shared" si="46"/>
        <v>0</v>
      </c>
      <c r="AN45" s="211">
        <f t="shared" si="46"/>
        <v>0</v>
      </c>
      <c r="AO45" s="211">
        <f t="shared" si="46"/>
        <v>0</v>
      </c>
      <c r="AP45" s="211">
        <f t="shared" si="46"/>
        <v>0</v>
      </c>
      <c r="AQ45" s="211">
        <f t="shared" si="46"/>
        <v>0</v>
      </c>
      <c r="AR45" s="211">
        <f t="shared" si="46"/>
        <v>0</v>
      </c>
      <c r="AS45" s="211">
        <f t="shared" si="46"/>
        <v>0</v>
      </c>
      <c r="AT45" s="211">
        <f t="shared" si="46"/>
        <v>0</v>
      </c>
      <c r="AU45" s="211">
        <f t="shared" si="46"/>
        <v>0</v>
      </c>
      <c r="AV45" s="211">
        <f t="shared" si="46"/>
        <v>0</v>
      </c>
      <c r="AW45" s="211">
        <f t="shared" si="46"/>
        <v>0</v>
      </c>
      <c r="AX45" s="211">
        <f t="shared" si="46"/>
        <v>0</v>
      </c>
      <c r="AY45" s="211">
        <f t="shared" si="46"/>
        <v>0</v>
      </c>
      <c r="AZ45" s="211">
        <f t="shared" si="46"/>
        <v>0</v>
      </c>
      <c r="BA45" s="211">
        <f t="shared" si="46"/>
        <v>0</v>
      </c>
      <c r="BB45" s="211">
        <f t="shared" si="46"/>
        <v>0</v>
      </c>
      <c r="BC45" s="211">
        <f t="shared" si="46"/>
        <v>0</v>
      </c>
      <c r="BD45" s="211">
        <f t="shared" si="46"/>
        <v>0</v>
      </c>
      <c r="BE45" s="211">
        <f t="shared" si="46"/>
        <v>0</v>
      </c>
      <c r="BF45" s="211">
        <f t="shared" si="46"/>
        <v>0</v>
      </c>
      <c r="BG45" s="211">
        <f t="shared" si="46"/>
        <v>0</v>
      </c>
      <c r="BH45" s="211">
        <f t="shared" si="46"/>
        <v>0</v>
      </c>
      <c r="BI45" s="211">
        <f t="shared" si="46"/>
        <v>0</v>
      </c>
      <c r="BJ45" s="211">
        <f t="shared" si="46"/>
        <v>0</v>
      </c>
      <c r="BK45" s="211">
        <f t="shared" si="46"/>
        <v>0</v>
      </c>
      <c r="BL45" s="211">
        <f t="shared" si="46"/>
        <v>0</v>
      </c>
      <c r="BM45" s="211">
        <f t="shared" si="46"/>
        <v>0</v>
      </c>
      <c r="BN45" s="211">
        <f t="shared" si="46"/>
        <v>0</v>
      </c>
      <c r="BO45" s="211">
        <f t="shared" si="46"/>
        <v>0</v>
      </c>
      <c r="BP45" s="211">
        <f t="shared" si="46"/>
        <v>0</v>
      </c>
      <c r="BQ45" s="211">
        <f t="shared" si="46"/>
        <v>0</v>
      </c>
      <c r="BR45" s="211">
        <f t="shared" ref="BR45:DA45" si="47">IF(BR$22&lt;=$E$24,IF(BR$22&lt;=$D$24,IF(BR$22&lt;=$C$24,IF(BR$22&lt;=$B$24,$B111,($C28-$B28)/($C$24-$B$24)),($D28-$C28)/($D$24-$C$24)),($E28-$D28)/($E$24-$D$24)),$F111)</f>
        <v>0</v>
      </c>
      <c r="BS45" s="211">
        <f t="shared" si="47"/>
        <v>0</v>
      </c>
      <c r="BT45" s="211">
        <f t="shared" si="47"/>
        <v>0</v>
      </c>
      <c r="BU45" s="211">
        <f t="shared" si="47"/>
        <v>0</v>
      </c>
      <c r="BV45" s="211">
        <f t="shared" si="47"/>
        <v>0</v>
      </c>
      <c r="BW45" s="211">
        <f t="shared" si="47"/>
        <v>0</v>
      </c>
      <c r="BX45" s="211">
        <f t="shared" si="47"/>
        <v>0</v>
      </c>
      <c r="BY45" s="211">
        <f t="shared" si="47"/>
        <v>0</v>
      </c>
      <c r="BZ45" s="211">
        <f t="shared" si="47"/>
        <v>0</v>
      </c>
      <c r="CA45" s="211">
        <f t="shared" si="47"/>
        <v>0</v>
      </c>
      <c r="CB45" s="211">
        <f t="shared" si="47"/>
        <v>0</v>
      </c>
      <c r="CC45" s="211">
        <f t="shared" si="47"/>
        <v>0</v>
      </c>
      <c r="CD45" s="211">
        <f t="shared" si="47"/>
        <v>0</v>
      </c>
      <c r="CE45" s="211">
        <f t="shared" si="47"/>
        <v>0</v>
      </c>
      <c r="CF45" s="211">
        <f t="shared" si="47"/>
        <v>0</v>
      </c>
      <c r="CG45" s="211">
        <f t="shared" si="47"/>
        <v>0</v>
      </c>
      <c r="CH45" s="211">
        <f t="shared" si="47"/>
        <v>0</v>
      </c>
      <c r="CI45" s="211">
        <f t="shared" si="47"/>
        <v>0</v>
      </c>
      <c r="CJ45" s="211">
        <f t="shared" si="47"/>
        <v>0</v>
      </c>
      <c r="CK45" s="211">
        <f t="shared" si="47"/>
        <v>0</v>
      </c>
      <c r="CL45" s="211">
        <f t="shared" si="47"/>
        <v>0</v>
      </c>
      <c r="CM45" s="211">
        <f t="shared" si="47"/>
        <v>0</v>
      </c>
      <c r="CN45" s="211">
        <f t="shared" si="47"/>
        <v>0</v>
      </c>
      <c r="CO45" s="211">
        <f t="shared" si="47"/>
        <v>0</v>
      </c>
      <c r="CP45" s="211">
        <f t="shared" si="47"/>
        <v>0</v>
      </c>
      <c r="CQ45" s="211">
        <f t="shared" si="47"/>
        <v>0</v>
      </c>
      <c r="CR45" s="211">
        <f t="shared" si="47"/>
        <v>0</v>
      </c>
      <c r="CS45" s="211">
        <f t="shared" si="47"/>
        <v>0</v>
      </c>
      <c r="CT45" s="211">
        <f t="shared" si="47"/>
        <v>0</v>
      </c>
      <c r="CU45" s="211">
        <f t="shared" si="47"/>
        <v>0</v>
      </c>
      <c r="CV45" s="211">
        <f t="shared" si="47"/>
        <v>0</v>
      </c>
      <c r="CW45" s="211">
        <f t="shared" si="47"/>
        <v>0</v>
      </c>
      <c r="CX45" s="211">
        <f t="shared" si="47"/>
        <v>0</v>
      </c>
      <c r="CY45" s="211">
        <f t="shared" si="47"/>
        <v>0</v>
      </c>
      <c r="CZ45" s="211">
        <f t="shared" si="47"/>
        <v>0</v>
      </c>
      <c r="DA45" s="211">
        <f t="shared" si="47"/>
        <v>0</v>
      </c>
    </row>
    <row r="46" spans="1:105">
      <c r="A46" s="202" t="str">
        <f>Income!A76</f>
        <v>Animals sold</v>
      </c>
      <c r="F46" s="211">
        <f t="shared" ref="F46:AK46" si="48">IF(F$22&lt;=$E$24,IF(F$22&lt;=$D$24,IF(F$22&lt;=$C$24,IF(F$22&lt;=$B$24,$B112,($C29-$B29)/($C$24-$B$24)),($D29-$C29)/($D$24-$C$24)),($E29-$D29)/($E$24-$D$24)),$F112)</f>
        <v>0</v>
      </c>
      <c r="G46" s="211">
        <f t="shared" si="48"/>
        <v>0</v>
      </c>
      <c r="H46" s="211">
        <f t="shared" si="48"/>
        <v>0</v>
      </c>
      <c r="I46" s="211">
        <f t="shared" si="48"/>
        <v>0</v>
      </c>
      <c r="J46" s="211">
        <f t="shared" si="48"/>
        <v>0</v>
      </c>
      <c r="K46" s="211">
        <f t="shared" si="48"/>
        <v>0</v>
      </c>
      <c r="L46" s="211">
        <f t="shared" si="48"/>
        <v>0</v>
      </c>
      <c r="M46" s="211">
        <f t="shared" si="48"/>
        <v>0</v>
      </c>
      <c r="N46" s="211">
        <f t="shared" si="48"/>
        <v>0</v>
      </c>
      <c r="O46" s="211">
        <f t="shared" si="48"/>
        <v>0</v>
      </c>
      <c r="P46" s="211">
        <f t="shared" si="48"/>
        <v>0</v>
      </c>
      <c r="Q46" s="211">
        <f t="shared" si="48"/>
        <v>0</v>
      </c>
      <c r="R46" s="211">
        <f t="shared" si="48"/>
        <v>0</v>
      </c>
      <c r="S46" s="211">
        <f t="shared" si="48"/>
        <v>0</v>
      </c>
      <c r="T46" s="211">
        <f t="shared" si="48"/>
        <v>0</v>
      </c>
      <c r="U46" s="211">
        <f t="shared" si="48"/>
        <v>0</v>
      </c>
      <c r="V46" s="211">
        <f t="shared" si="48"/>
        <v>0</v>
      </c>
      <c r="W46" s="211">
        <f t="shared" si="48"/>
        <v>0</v>
      </c>
      <c r="X46" s="211">
        <f t="shared" si="48"/>
        <v>0</v>
      </c>
      <c r="Y46" s="211">
        <f t="shared" si="48"/>
        <v>0</v>
      </c>
      <c r="Z46" s="211">
        <f t="shared" si="48"/>
        <v>0</v>
      </c>
      <c r="AA46" s="211">
        <f t="shared" si="48"/>
        <v>0</v>
      </c>
      <c r="AB46" s="211">
        <f t="shared" si="48"/>
        <v>0</v>
      </c>
      <c r="AC46" s="211">
        <f t="shared" si="48"/>
        <v>0</v>
      </c>
      <c r="AD46" s="211">
        <f t="shared" si="48"/>
        <v>0</v>
      </c>
      <c r="AE46" s="211">
        <f t="shared" si="48"/>
        <v>98.88</v>
      </c>
      <c r="AF46" s="211">
        <f t="shared" si="48"/>
        <v>98.88</v>
      </c>
      <c r="AG46" s="211">
        <f t="shared" si="48"/>
        <v>98.88</v>
      </c>
      <c r="AH46" s="211">
        <f t="shared" si="48"/>
        <v>98.88</v>
      </c>
      <c r="AI46" s="211">
        <f t="shared" si="48"/>
        <v>98.88</v>
      </c>
      <c r="AJ46" s="211">
        <f t="shared" si="48"/>
        <v>98.88</v>
      </c>
      <c r="AK46" s="211">
        <f t="shared" si="48"/>
        <v>98.88</v>
      </c>
      <c r="AL46" s="211">
        <f t="shared" ref="AL46:BQ46" si="49">IF(AL$22&lt;=$E$24,IF(AL$22&lt;=$D$24,IF(AL$22&lt;=$C$24,IF(AL$22&lt;=$B$24,$B112,($C29-$B29)/($C$24-$B$24)),($D29-$C29)/($D$24-$C$24)),($E29-$D29)/($E$24-$D$24)),$F112)</f>
        <v>98.88</v>
      </c>
      <c r="AM46" s="211">
        <f t="shared" si="49"/>
        <v>98.88</v>
      </c>
      <c r="AN46" s="211">
        <f t="shared" si="49"/>
        <v>98.88</v>
      </c>
      <c r="AO46" s="211">
        <f t="shared" si="49"/>
        <v>98.88</v>
      </c>
      <c r="AP46" s="211">
        <f t="shared" si="49"/>
        <v>98.88</v>
      </c>
      <c r="AQ46" s="211">
        <f t="shared" si="49"/>
        <v>98.88</v>
      </c>
      <c r="AR46" s="211">
        <f t="shared" si="49"/>
        <v>98.88</v>
      </c>
      <c r="AS46" s="211">
        <f t="shared" si="49"/>
        <v>98.88</v>
      </c>
      <c r="AT46" s="211">
        <f t="shared" si="49"/>
        <v>98.88</v>
      </c>
      <c r="AU46" s="211">
        <f t="shared" si="49"/>
        <v>98.88</v>
      </c>
      <c r="AV46" s="211">
        <f t="shared" si="49"/>
        <v>98.88</v>
      </c>
      <c r="AW46" s="211">
        <f t="shared" si="49"/>
        <v>98.88</v>
      </c>
      <c r="AX46" s="211">
        <f t="shared" si="49"/>
        <v>98.88</v>
      </c>
      <c r="AY46" s="211">
        <f t="shared" si="49"/>
        <v>98.88</v>
      </c>
      <c r="AZ46" s="211">
        <f t="shared" si="49"/>
        <v>98.88</v>
      </c>
      <c r="BA46" s="211">
        <f t="shared" si="49"/>
        <v>98.88</v>
      </c>
      <c r="BB46" s="211">
        <f t="shared" si="49"/>
        <v>98.88</v>
      </c>
      <c r="BC46" s="211">
        <f t="shared" si="49"/>
        <v>98.88</v>
      </c>
      <c r="BD46" s="211">
        <f t="shared" si="49"/>
        <v>0</v>
      </c>
      <c r="BE46" s="211">
        <f t="shared" si="49"/>
        <v>0</v>
      </c>
      <c r="BF46" s="211">
        <f t="shared" si="49"/>
        <v>0</v>
      </c>
      <c r="BG46" s="211">
        <f t="shared" si="49"/>
        <v>0</v>
      </c>
      <c r="BH46" s="211">
        <f t="shared" si="49"/>
        <v>0</v>
      </c>
      <c r="BI46" s="211">
        <f t="shared" si="49"/>
        <v>0</v>
      </c>
      <c r="BJ46" s="211">
        <f t="shared" si="49"/>
        <v>0</v>
      </c>
      <c r="BK46" s="211">
        <f t="shared" si="49"/>
        <v>0</v>
      </c>
      <c r="BL46" s="211">
        <f t="shared" si="49"/>
        <v>0</v>
      </c>
      <c r="BM46" s="211">
        <f t="shared" si="49"/>
        <v>0</v>
      </c>
      <c r="BN46" s="211">
        <f t="shared" si="49"/>
        <v>0</v>
      </c>
      <c r="BO46" s="211">
        <f t="shared" si="49"/>
        <v>0</v>
      </c>
      <c r="BP46" s="211">
        <f t="shared" si="49"/>
        <v>0</v>
      </c>
      <c r="BQ46" s="211">
        <f t="shared" si="49"/>
        <v>0</v>
      </c>
      <c r="BR46" s="211">
        <f t="shared" ref="BR46:DA46" si="50">IF(BR$22&lt;=$E$24,IF(BR$22&lt;=$D$24,IF(BR$22&lt;=$C$24,IF(BR$22&lt;=$B$24,$B112,($C29-$B29)/($C$24-$B$24)),($D29-$C29)/($D$24-$C$24)),($E29-$D29)/($E$24-$D$24)),$F112)</f>
        <v>0</v>
      </c>
      <c r="BS46" s="211">
        <f t="shared" si="50"/>
        <v>0</v>
      </c>
      <c r="BT46" s="211">
        <f t="shared" si="50"/>
        <v>0</v>
      </c>
      <c r="BU46" s="211">
        <f t="shared" si="50"/>
        <v>0</v>
      </c>
      <c r="BV46" s="211">
        <f t="shared" si="50"/>
        <v>0</v>
      </c>
      <c r="BW46" s="211">
        <f t="shared" si="50"/>
        <v>0</v>
      </c>
      <c r="BX46" s="211">
        <f t="shared" si="50"/>
        <v>0</v>
      </c>
      <c r="BY46" s="211">
        <f t="shared" si="50"/>
        <v>0</v>
      </c>
      <c r="BZ46" s="211">
        <f t="shared" si="50"/>
        <v>0</v>
      </c>
      <c r="CA46" s="211">
        <f t="shared" si="50"/>
        <v>0</v>
      </c>
      <c r="CB46" s="211">
        <f t="shared" si="50"/>
        <v>0</v>
      </c>
      <c r="CC46" s="211">
        <f t="shared" si="50"/>
        <v>0</v>
      </c>
      <c r="CD46" s="211">
        <f t="shared" si="50"/>
        <v>0</v>
      </c>
      <c r="CE46" s="211">
        <f t="shared" si="50"/>
        <v>0</v>
      </c>
      <c r="CF46" s="211">
        <f t="shared" si="50"/>
        <v>0</v>
      </c>
      <c r="CG46" s="211">
        <f t="shared" si="50"/>
        <v>0</v>
      </c>
      <c r="CH46" s="211">
        <f t="shared" si="50"/>
        <v>0</v>
      </c>
      <c r="CI46" s="211">
        <f t="shared" si="50"/>
        <v>0</v>
      </c>
      <c r="CJ46" s="211">
        <f t="shared" si="50"/>
        <v>0</v>
      </c>
      <c r="CK46" s="211">
        <f t="shared" si="50"/>
        <v>0</v>
      </c>
      <c r="CL46" s="211">
        <f t="shared" si="50"/>
        <v>0</v>
      </c>
      <c r="CM46" s="211">
        <f t="shared" si="50"/>
        <v>0</v>
      </c>
      <c r="CN46" s="211">
        <f t="shared" si="50"/>
        <v>0</v>
      </c>
      <c r="CO46" s="211">
        <f t="shared" si="50"/>
        <v>0</v>
      </c>
      <c r="CP46" s="211">
        <f t="shared" si="50"/>
        <v>0</v>
      </c>
      <c r="CQ46" s="211">
        <f t="shared" si="50"/>
        <v>0</v>
      </c>
      <c r="CR46" s="211">
        <f t="shared" si="50"/>
        <v>0</v>
      </c>
      <c r="CS46" s="211">
        <f t="shared" si="50"/>
        <v>0</v>
      </c>
      <c r="CT46" s="211">
        <f t="shared" si="50"/>
        <v>0</v>
      </c>
      <c r="CU46" s="211">
        <f t="shared" si="50"/>
        <v>0</v>
      </c>
      <c r="CV46" s="211">
        <f t="shared" si="50"/>
        <v>0</v>
      </c>
      <c r="CW46" s="211">
        <f t="shared" si="50"/>
        <v>0</v>
      </c>
      <c r="CX46" s="211">
        <f t="shared" si="50"/>
        <v>0</v>
      </c>
      <c r="CY46" s="211">
        <f t="shared" si="50"/>
        <v>0</v>
      </c>
      <c r="CZ46" s="211">
        <f t="shared" si="50"/>
        <v>0</v>
      </c>
      <c r="DA46" s="211">
        <f t="shared" si="50"/>
        <v>0</v>
      </c>
    </row>
    <row r="47" spans="1:105">
      <c r="A47" s="202" t="str">
        <f>Income!A77</f>
        <v>Wild foods consumed and sold</v>
      </c>
      <c r="F47" s="211">
        <f t="shared" ref="F47:AK47" si="51">IF(F$22&lt;=$E$24,IF(F$22&lt;=$D$24,IF(F$22&lt;=$C$24,IF(F$22&lt;=$B$24,$B113,($C30-$B30)/($C$24-$B$24)),($D30-$C30)/($D$24-$C$24)),($E30-$D30)/($E$24-$D$24)),$F113)</f>
        <v>0</v>
      </c>
      <c r="G47" s="211">
        <f t="shared" si="51"/>
        <v>0</v>
      </c>
      <c r="H47" s="211">
        <f t="shared" si="51"/>
        <v>0</v>
      </c>
      <c r="I47" s="211">
        <f t="shared" si="51"/>
        <v>0</v>
      </c>
      <c r="J47" s="211">
        <f t="shared" si="51"/>
        <v>0</v>
      </c>
      <c r="K47" s="211">
        <f t="shared" si="51"/>
        <v>0</v>
      </c>
      <c r="L47" s="211">
        <f t="shared" si="51"/>
        <v>0</v>
      </c>
      <c r="M47" s="211">
        <f t="shared" si="51"/>
        <v>0</v>
      </c>
      <c r="N47" s="211">
        <f t="shared" si="51"/>
        <v>0</v>
      </c>
      <c r="O47" s="211">
        <f t="shared" si="51"/>
        <v>0</v>
      </c>
      <c r="P47" s="211">
        <f t="shared" si="51"/>
        <v>0</v>
      </c>
      <c r="Q47" s="211">
        <f t="shared" si="51"/>
        <v>0</v>
      </c>
      <c r="R47" s="211">
        <f t="shared" si="51"/>
        <v>0</v>
      </c>
      <c r="S47" s="211">
        <f t="shared" si="51"/>
        <v>0</v>
      </c>
      <c r="T47" s="211">
        <f t="shared" si="51"/>
        <v>0</v>
      </c>
      <c r="U47" s="211">
        <f t="shared" si="51"/>
        <v>0</v>
      </c>
      <c r="V47" s="211">
        <f t="shared" si="51"/>
        <v>0</v>
      </c>
      <c r="W47" s="211">
        <f t="shared" si="51"/>
        <v>0</v>
      </c>
      <c r="X47" s="211">
        <f t="shared" si="51"/>
        <v>0</v>
      </c>
      <c r="Y47" s="211">
        <f t="shared" si="51"/>
        <v>0</v>
      </c>
      <c r="Z47" s="211">
        <f t="shared" si="51"/>
        <v>0</v>
      </c>
      <c r="AA47" s="211">
        <f t="shared" si="51"/>
        <v>0</v>
      </c>
      <c r="AB47" s="211">
        <f t="shared" si="51"/>
        <v>0</v>
      </c>
      <c r="AC47" s="211">
        <f t="shared" si="51"/>
        <v>0</v>
      </c>
      <c r="AD47" s="211">
        <f t="shared" si="51"/>
        <v>0</v>
      </c>
      <c r="AE47" s="211">
        <f t="shared" si="51"/>
        <v>0</v>
      </c>
      <c r="AF47" s="211">
        <f t="shared" si="51"/>
        <v>0</v>
      </c>
      <c r="AG47" s="211">
        <f t="shared" si="51"/>
        <v>0</v>
      </c>
      <c r="AH47" s="211">
        <f t="shared" si="51"/>
        <v>0</v>
      </c>
      <c r="AI47" s="211">
        <f t="shared" si="51"/>
        <v>0</v>
      </c>
      <c r="AJ47" s="211">
        <f t="shared" si="51"/>
        <v>0</v>
      </c>
      <c r="AK47" s="211">
        <f t="shared" si="51"/>
        <v>0</v>
      </c>
      <c r="AL47" s="211">
        <f t="shared" ref="AL47:BQ47" si="52">IF(AL$22&lt;=$E$24,IF(AL$22&lt;=$D$24,IF(AL$22&lt;=$C$24,IF(AL$22&lt;=$B$24,$B113,($C30-$B30)/($C$24-$B$24)),($D30-$C30)/($D$24-$C$24)),($E30-$D30)/($E$24-$D$24)),$F113)</f>
        <v>0</v>
      </c>
      <c r="AM47" s="211">
        <f t="shared" si="52"/>
        <v>0</v>
      </c>
      <c r="AN47" s="211">
        <f t="shared" si="52"/>
        <v>0</v>
      </c>
      <c r="AO47" s="211">
        <f t="shared" si="52"/>
        <v>0</v>
      </c>
      <c r="AP47" s="211">
        <f t="shared" si="52"/>
        <v>0</v>
      </c>
      <c r="AQ47" s="211">
        <f t="shared" si="52"/>
        <v>0</v>
      </c>
      <c r="AR47" s="211">
        <f t="shared" si="52"/>
        <v>0</v>
      </c>
      <c r="AS47" s="211">
        <f t="shared" si="52"/>
        <v>0</v>
      </c>
      <c r="AT47" s="211">
        <f t="shared" si="52"/>
        <v>0</v>
      </c>
      <c r="AU47" s="211">
        <f t="shared" si="52"/>
        <v>0</v>
      </c>
      <c r="AV47" s="211">
        <f t="shared" si="52"/>
        <v>0</v>
      </c>
      <c r="AW47" s="211">
        <f t="shared" si="52"/>
        <v>0</v>
      </c>
      <c r="AX47" s="211">
        <f t="shared" si="52"/>
        <v>0</v>
      </c>
      <c r="AY47" s="211">
        <f t="shared" si="52"/>
        <v>0</v>
      </c>
      <c r="AZ47" s="211">
        <f t="shared" si="52"/>
        <v>0</v>
      </c>
      <c r="BA47" s="211">
        <f t="shared" si="52"/>
        <v>0</v>
      </c>
      <c r="BB47" s="211">
        <f t="shared" si="52"/>
        <v>0</v>
      </c>
      <c r="BC47" s="211">
        <f t="shared" si="52"/>
        <v>0</v>
      </c>
      <c r="BD47" s="211">
        <f t="shared" si="52"/>
        <v>-27.074200000000019</v>
      </c>
      <c r="BE47" s="211">
        <f t="shared" si="52"/>
        <v>-27.074200000000019</v>
      </c>
      <c r="BF47" s="211">
        <f t="shared" si="52"/>
        <v>-27.074200000000019</v>
      </c>
      <c r="BG47" s="211">
        <f t="shared" si="52"/>
        <v>-27.074200000000019</v>
      </c>
      <c r="BH47" s="211">
        <f t="shared" si="52"/>
        <v>-27.074200000000019</v>
      </c>
      <c r="BI47" s="211">
        <f t="shared" si="52"/>
        <v>-27.074200000000019</v>
      </c>
      <c r="BJ47" s="211">
        <f t="shared" si="52"/>
        <v>-27.074200000000019</v>
      </c>
      <c r="BK47" s="211">
        <f t="shared" si="52"/>
        <v>-27.074200000000019</v>
      </c>
      <c r="BL47" s="211">
        <f t="shared" si="52"/>
        <v>-27.074200000000019</v>
      </c>
      <c r="BM47" s="211">
        <f t="shared" si="52"/>
        <v>-27.074200000000019</v>
      </c>
      <c r="BN47" s="211">
        <f t="shared" si="52"/>
        <v>-27.074200000000019</v>
      </c>
      <c r="BO47" s="211">
        <f t="shared" si="52"/>
        <v>-27.074200000000019</v>
      </c>
      <c r="BP47" s="211">
        <f t="shared" si="52"/>
        <v>-27.074200000000019</v>
      </c>
      <c r="BQ47" s="211">
        <f t="shared" si="52"/>
        <v>-27.074200000000019</v>
      </c>
      <c r="BR47" s="211">
        <f t="shared" ref="BR47:DA47" si="53">IF(BR$22&lt;=$E$24,IF(BR$22&lt;=$D$24,IF(BR$22&lt;=$C$24,IF(BR$22&lt;=$B$24,$B113,($C30-$B30)/($C$24-$B$24)),($D30-$C30)/($D$24-$C$24)),($E30-$D30)/($E$24-$D$24)),$F113)</f>
        <v>-27.074200000000019</v>
      </c>
      <c r="BS47" s="211">
        <f t="shared" si="53"/>
        <v>-27.074200000000019</v>
      </c>
      <c r="BT47" s="211">
        <f t="shared" si="53"/>
        <v>-27.074200000000019</v>
      </c>
      <c r="BU47" s="211">
        <f t="shared" si="53"/>
        <v>-27.074200000000019</v>
      </c>
      <c r="BV47" s="211">
        <f t="shared" si="53"/>
        <v>-27.074200000000019</v>
      </c>
      <c r="BW47" s="211">
        <f t="shared" si="53"/>
        <v>-27.074200000000019</v>
      </c>
      <c r="BX47" s="211">
        <f t="shared" si="53"/>
        <v>-27.074200000000019</v>
      </c>
      <c r="BY47" s="211">
        <f t="shared" si="53"/>
        <v>-27.074200000000019</v>
      </c>
      <c r="BZ47" s="211">
        <f t="shared" si="53"/>
        <v>-27.074200000000019</v>
      </c>
      <c r="CA47" s="211">
        <f t="shared" si="53"/>
        <v>-27.074200000000019</v>
      </c>
      <c r="CB47" s="211">
        <f t="shared" si="53"/>
        <v>-27.074200000000019</v>
      </c>
      <c r="CC47" s="211">
        <f t="shared" si="53"/>
        <v>-27.074200000000019</v>
      </c>
      <c r="CD47" s="211">
        <f t="shared" si="53"/>
        <v>-27.074200000000019</v>
      </c>
      <c r="CE47" s="211">
        <f t="shared" si="53"/>
        <v>-27.074200000000019</v>
      </c>
      <c r="CF47" s="211">
        <f t="shared" si="53"/>
        <v>-27.074200000000019</v>
      </c>
      <c r="CG47" s="211">
        <f t="shared" si="53"/>
        <v>-27.074200000000019</v>
      </c>
      <c r="CH47" s="211">
        <f t="shared" si="53"/>
        <v>-27.074200000000019</v>
      </c>
      <c r="CI47" s="211">
        <f t="shared" si="53"/>
        <v>-27.074200000000019</v>
      </c>
      <c r="CJ47" s="211">
        <f t="shared" si="53"/>
        <v>-27.074200000000019</v>
      </c>
      <c r="CK47" s="211">
        <f t="shared" si="53"/>
        <v>-27.074200000000019</v>
      </c>
      <c r="CL47" s="211">
        <f t="shared" si="53"/>
        <v>-27.074200000000019</v>
      </c>
      <c r="CM47" s="211">
        <f t="shared" si="53"/>
        <v>-27.074200000000019</v>
      </c>
      <c r="CN47" s="211">
        <f t="shared" si="53"/>
        <v>-27.074200000000019</v>
      </c>
      <c r="CO47" s="211">
        <f t="shared" si="53"/>
        <v>-27.074200000000019</v>
      </c>
      <c r="CP47" s="211">
        <f t="shared" si="53"/>
        <v>-27.074200000000019</v>
      </c>
      <c r="CQ47" s="211">
        <f t="shared" si="53"/>
        <v>-27.074200000000019</v>
      </c>
      <c r="CR47" s="211">
        <f t="shared" si="53"/>
        <v>-27.074200000000019</v>
      </c>
      <c r="CS47" s="211">
        <f t="shared" si="53"/>
        <v>-27.074200000000019</v>
      </c>
      <c r="CT47" s="211">
        <f t="shared" si="53"/>
        <v>-27.074200000000019</v>
      </c>
      <c r="CU47" s="211">
        <f t="shared" si="53"/>
        <v>-27.074200000000019</v>
      </c>
      <c r="CV47" s="211">
        <f t="shared" si="53"/>
        <v>-27.074200000000019</v>
      </c>
      <c r="CW47" s="211">
        <f t="shared" si="53"/>
        <v>-27.074200000000019</v>
      </c>
      <c r="CX47" s="211">
        <f t="shared" si="53"/>
        <v>-27.074200000000019</v>
      </c>
      <c r="CY47" s="211">
        <f t="shared" si="53"/>
        <v>-27.074200000000019</v>
      </c>
      <c r="CZ47" s="211">
        <f t="shared" si="53"/>
        <v>-27.074200000000019</v>
      </c>
      <c r="DA47" s="211">
        <f t="shared" si="53"/>
        <v>-27.074200000000019</v>
      </c>
    </row>
    <row r="48" spans="1:105">
      <c r="A48" s="202" t="str">
        <f>Income!A78</f>
        <v>Labour - casual</v>
      </c>
      <c r="F48" s="211">
        <f t="shared" ref="F48:AK48" si="54">IF(F$22&lt;=$E$24,IF(F$22&lt;=$D$24,IF(F$22&lt;=$C$24,IF(F$22&lt;=$B$24,$B114,($C31-$B31)/($C$24-$B$24)),($D31-$C31)/($D$24-$C$24)),($E31-$D31)/($E$24-$D$24)),$F114)</f>
        <v>0</v>
      </c>
      <c r="G48" s="211">
        <f t="shared" si="54"/>
        <v>0</v>
      </c>
      <c r="H48" s="211">
        <f t="shared" si="54"/>
        <v>0</v>
      </c>
      <c r="I48" s="211">
        <f t="shared" si="54"/>
        <v>0</v>
      </c>
      <c r="J48" s="211">
        <f t="shared" si="54"/>
        <v>0</v>
      </c>
      <c r="K48" s="211">
        <f t="shared" si="54"/>
        <v>0</v>
      </c>
      <c r="L48" s="211">
        <f t="shared" si="54"/>
        <v>0</v>
      </c>
      <c r="M48" s="211">
        <f t="shared" si="54"/>
        <v>0</v>
      </c>
      <c r="N48" s="211">
        <f t="shared" si="54"/>
        <v>0</v>
      </c>
      <c r="O48" s="211">
        <f t="shared" si="54"/>
        <v>0</v>
      </c>
      <c r="P48" s="211">
        <f t="shared" si="54"/>
        <v>0</v>
      </c>
      <c r="Q48" s="211">
        <f t="shared" si="54"/>
        <v>0</v>
      </c>
      <c r="R48" s="211">
        <f t="shared" si="54"/>
        <v>0</v>
      </c>
      <c r="S48" s="211">
        <f t="shared" si="54"/>
        <v>0</v>
      </c>
      <c r="T48" s="211">
        <f t="shared" si="54"/>
        <v>0</v>
      </c>
      <c r="U48" s="211">
        <f t="shared" si="54"/>
        <v>0</v>
      </c>
      <c r="V48" s="211">
        <f t="shared" si="54"/>
        <v>0</v>
      </c>
      <c r="W48" s="211">
        <f t="shared" si="54"/>
        <v>0</v>
      </c>
      <c r="X48" s="211">
        <f t="shared" si="54"/>
        <v>0</v>
      </c>
      <c r="Y48" s="211">
        <f t="shared" si="54"/>
        <v>0</v>
      </c>
      <c r="Z48" s="211">
        <f t="shared" si="54"/>
        <v>0</v>
      </c>
      <c r="AA48" s="211">
        <f t="shared" si="54"/>
        <v>0</v>
      </c>
      <c r="AB48" s="211">
        <f t="shared" si="54"/>
        <v>0</v>
      </c>
      <c r="AC48" s="211">
        <f t="shared" si="54"/>
        <v>0</v>
      </c>
      <c r="AD48" s="211">
        <f t="shared" si="54"/>
        <v>0</v>
      </c>
      <c r="AE48" s="211">
        <f t="shared" si="54"/>
        <v>276.11428571428576</v>
      </c>
      <c r="AF48" s="211">
        <f t="shared" si="54"/>
        <v>276.11428571428576</v>
      </c>
      <c r="AG48" s="211">
        <f t="shared" si="54"/>
        <v>276.11428571428576</v>
      </c>
      <c r="AH48" s="211">
        <f t="shared" si="54"/>
        <v>276.11428571428576</v>
      </c>
      <c r="AI48" s="211">
        <f t="shared" si="54"/>
        <v>276.11428571428576</v>
      </c>
      <c r="AJ48" s="211">
        <f t="shared" si="54"/>
        <v>276.11428571428576</v>
      </c>
      <c r="AK48" s="211">
        <f t="shared" si="54"/>
        <v>276.11428571428576</v>
      </c>
      <c r="AL48" s="211">
        <f t="shared" ref="AL48:BQ48" si="55">IF(AL$22&lt;=$E$24,IF(AL$22&lt;=$D$24,IF(AL$22&lt;=$C$24,IF(AL$22&lt;=$B$24,$B114,($C31-$B31)/($C$24-$B$24)),($D31-$C31)/($D$24-$C$24)),($E31-$D31)/($E$24-$D$24)),$F114)</f>
        <v>276.11428571428576</v>
      </c>
      <c r="AM48" s="211">
        <f t="shared" si="55"/>
        <v>276.11428571428576</v>
      </c>
      <c r="AN48" s="211">
        <f t="shared" si="55"/>
        <v>276.11428571428576</v>
      </c>
      <c r="AO48" s="211">
        <f t="shared" si="55"/>
        <v>276.11428571428576</v>
      </c>
      <c r="AP48" s="211">
        <f t="shared" si="55"/>
        <v>276.11428571428576</v>
      </c>
      <c r="AQ48" s="211">
        <f t="shared" si="55"/>
        <v>276.11428571428576</v>
      </c>
      <c r="AR48" s="211">
        <f t="shared" si="55"/>
        <v>276.11428571428576</v>
      </c>
      <c r="AS48" s="211">
        <f t="shared" si="55"/>
        <v>276.11428571428576</v>
      </c>
      <c r="AT48" s="211">
        <f t="shared" si="55"/>
        <v>276.11428571428576</v>
      </c>
      <c r="AU48" s="211">
        <f t="shared" si="55"/>
        <v>276.11428571428576</v>
      </c>
      <c r="AV48" s="211">
        <f t="shared" si="55"/>
        <v>276.11428571428576</v>
      </c>
      <c r="AW48" s="211">
        <f t="shared" si="55"/>
        <v>276.11428571428576</v>
      </c>
      <c r="AX48" s="211">
        <f t="shared" si="55"/>
        <v>276.11428571428576</v>
      </c>
      <c r="AY48" s="211">
        <f t="shared" si="55"/>
        <v>276.11428571428576</v>
      </c>
      <c r="AZ48" s="211">
        <f t="shared" si="55"/>
        <v>276.11428571428576</v>
      </c>
      <c r="BA48" s="211">
        <f t="shared" si="55"/>
        <v>276.11428571428576</v>
      </c>
      <c r="BB48" s="211">
        <f t="shared" si="55"/>
        <v>276.11428571428576</v>
      </c>
      <c r="BC48" s="211">
        <f t="shared" si="55"/>
        <v>276.11428571428576</v>
      </c>
      <c r="BD48" s="211">
        <f t="shared" si="55"/>
        <v>0</v>
      </c>
      <c r="BE48" s="211">
        <f t="shared" si="55"/>
        <v>0</v>
      </c>
      <c r="BF48" s="211">
        <f t="shared" si="55"/>
        <v>0</v>
      </c>
      <c r="BG48" s="211">
        <f t="shared" si="55"/>
        <v>0</v>
      </c>
      <c r="BH48" s="211">
        <f t="shared" si="55"/>
        <v>0</v>
      </c>
      <c r="BI48" s="211">
        <f t="shared" si="55"/>
        <v>0</v>
      </c>
      <c r="BJ48" s="211">
        <f t="shared" si="55"/>
        <v>0</v>
      </c>
      <c r="BK48" s="211">
        <f t="shared" si="55"/>
        <v>0</v>
      </c>
      <c r="BL48" s="211">
        <f t="shared" si="55"/>
        <v>0</v>
      </c>
      <c r="BM48" s="211">
        <f t="shared" si="55"/>
        <v>0</v>
      </c>
      <c r="BN48" s="211">
        <f t="shared" si="55"/>
        <v>0</v>
      </c>
      <c r="BO48" s="211">
        <f t="shared" si="55"/>
        <v>0</v>
      </c>
      <c r="BP48" s="211">
        <f t="shared" si="55"/>
        <v>0</v>
      </c>
      <c r="BQ48" s="211">
        <f t="shared" si="55"/>
        <v>0</v>
      </c>
      <c r="BR48" s="211">
        <f t="shared" ref="BR48:DA48" si="56">IF(BR$22&lt;=$E$24,IF(BR$22&lt;=$D$24,IF(BR$22&lt;=$C$24,IF(BR$22&lt;=$B$24,$B114,($C31-$B31)/($C$24-$B$24)),($D31-$C31)/($D$24-$C$24)),($E31-$D31)/($E$24-$D$24)),$F114)</f>
        <v>0</v>
      </c>
      <c r="BS48" s="211">
        <f t="shared" si="56"/>
        <v>0</v>
      </c>
      <c r="BT48" s="211">
        <f t="shared" si="56"/>
        <v>0</v>
      </c>
      <c r="BU48" s="211">
        <f t="shared" si="56"/>
        <v>0</v>
      </c>
      <c r="BV48" s="211">
        <f t="shared" si="56"/>
        <v>0</v>
      </c>
      <c r="BW48" s="211">
        <f t="shared" si="56"/>
        <v>0</v>
      </c>
      <c r="BX48" s="211">
        <f t="shared" si="56"/>
        <v>0</v>
      </c>
      <c r="BY48" s="211">
        <f t="shared" si="56"/>
        <v>0</v>
      </c>
      <c r="BZ48" s="211">
        <f t="shared" si="56"/>
        <v>0</v>
      </c>
      <c r="CA48" s="211">
        <f t="shared" si="56"/>
        <v>0</v>
      </c>
      <c r="CB48" s="211">
        <f t="shared" si="56"/>
        <v>0</v>
      </c>
      <c r="CC48" s="211">
        <f t="shared" si="56"/>
        <v>0</v>
      </c>
      <c r="CD48" s="211">
        <f t="shared" si="56"/>
        <v>0</v>
      </c>
      <c r="CE48" s="211">
        <f t="shared" si="56"/>
        <v>0</v>
      </c>
      <c r="CF48" s="211">
        <f t="shared" si="56"/>
        <v>0</v>
      </c>
      <c r="CG48" s="211">
        <f t="shared" si="56"/>
        <v>0</v>
      </c>
      <c r="CH48" s="211">
        <f t="shared" si="56"/>
        <v>0</v>
      </c>
      <c r="CI48" s="211">
        <f t="shared" si="56"/>
        <v>0</v>
      </c>
      <c r="CJ48" s="211">
        <f t="shared" si="56"/>
        <v>0</v>
      </c>
      <c r="CK48" s="211">
        <f t="shared" si="56"/>
        <v>0</v>
      </c>
      <c r="CL48" s="211">
        <f t="shared" si="56"/>
        <v>0</v>
      </c>
      <c r="CM48" s="211">
        <f t="shared" si="56"/>
        <v>0</v>
      </c>
      <c r="CN48" s="211">
        <f t="shared" si="56"/>
        <v>0</v>
      </c>
      <c r="CO48" s="211">
        <f t="shared" si="56"/>
        <v>0</v>
      </c>
      <c r="CP48" s="211">
        <f t="shared" si="56"/>
        <v>0</v>
      </c>
      <c r="CQ48" s="211">
        <f t="shared" si="56"/>
        <v>0</v>
      </c>
      <c r="CR48" s="211">
        <f t="shared" si="56"/>
        <v>0</v>
      </c>
      <c r="CS48" s="211">
        <f t="shared" si="56"/>
        <v>0</v>
      </c>
      <c r="CT48" s="211">
        <f t="shared" si="56"/>
        <v>0</v>
      </c>
      <c r="CU48" s="211">
        <f t="shared" si="56"/>
        <v>0</v>
      </c>
      <c r="CV48" s="211">
        <f t="shared" si="56"/>
        <v>0</v>
      </c>
      <c r="CW48" s="211">
        <f t="shared" si="56"/>
        <v>0</v>
      </c>
      <c r="CX48" s="211">
        <f t="shared" si="56"/>
        <v>0</v>
      </c>
      <c r="CY48" s="211">
        <f t="shared" si="56"/>
        <v>0</v>
      </c>
      <c r="CZ48" s="211">
        <f t="shared" si="56"/>
        <v>0</v>
      </c>
      <c r="DA48" s="211">
        <f t="shared" si="56"/>
        <v>0</v>
      </c>
    </row>
    <row r="49" spans="1:105">
      <c r="A49" s="202" t="str">
        <f>Income!A79</f>
        <v>Labour - formal emp</v>
      </c>
      <c r="F49" s="211">
        <f t="shared" ref="F49:AK49" si="57">IF(F$22&lt;=$E$24,IF(F$22&lt;=$D$24,IF(F$22&lt;=$C$24,IF(F$22&lt;=$B$24,$B115,($C32-$B32)/($C$24-$B$24)),($D32-$C32)/($D$24-$C$24)),($E32-$D32)/($E$24-$D$24)),$F115)</f>
        <v>0</v>
      </c>
      <c r="G49" s="211">
        <f t="shared" si="57"/>
        <v>0</v>
      </c>
      <c r="H49" s="211">
        <f t="shared" si="57"/>
        <v>0</v>
      </c>
      <c r="I49" s="211">
        <f t="shared" si="57"/>
        <v>0</v>
      </c>
      <c r="J49" s="211">
        <f t="shared" si="57"/>
        <v>0</v>
      </c>
      <c r="K49" s="211">
        <f t="shared" si="57"/>
        <v>0</v>
      </c>
      <c r="L49" s="211">
        <f t="shared" si="57"/>
        <v>0</v>
      </c>
      <c r="M49" s="211">
        <f t="shared" si="57"/>
        <v>0</v>
      </c>
      <c r="N49" s="211">
        <f t="shared" si="57"/>
        <v>0</v>
      </c>
      <c r="O49" s="211">
        <f t="shared" si="57"/>
        <v>0</v>
      </c>
      <c r="P49" s="211">
        <f t="shared" si="57"/>
        <v>0</v>
      </c>
      <c r="Q49" s="211">
        <f t="shared" si="57"/>
        <v>0</v>
      </c>
      <c r="R49" s="211">
        <f t="shared" si="57"/>
        <v>0</v>
      </c>
      <c r="S49" s="211">
        <f t="shared" si="57"/>
        <v>0</v>
      </c>
      <c r="T49" s="211">
        <f t="shared" si="57"/>
        <v>0</v>
      </c>
      <c r="U49" s="211">
        <f t="shared" si="57"/>
        <v>0</v>
      </c>
      <c r="V49" s="211">
        <f t="shared" si="57"/>
        <v>0</v>
      </c>
      <c r="W49" s="211">
        <f t="shared" si="57"/>
        <v>0</v>
      </c>
      <c r="X49" s="211">
        <f t="shared" si="57"/>
        <v>0</v>
      </c>
      <c r="Y49" s="211">
        <f t="shared" si="57"/>
        <v>0</v>
      </c>
      <c r="Z49" s="211">
        <f t="shared" si="57"/>
        <v>0</v>
      </c>
      <c r="AA49" s="211">
        <f t="shared" si="57"/>
        <v>0</v>
      </c>
      <c r="AB49" s="211">
        <f t="shared" si="57"/>
        <v>0</v>
      </c>
      <c r="AC49" s="211">
        <f t="shared" si="57"/>
        <v>0</v>
      </c>
      <c r="AD49" s="211">
        <f t="shared" si="57"/>
        <v>0</v>
      </c>
      <c r="AE49" s="211">
        <f t="shared" si="57"/>
        <v>0</v>
      </c>
      <c r="AF49" s="211">
        <f t="shared" si="57"/>
        <v>0</v>
      </c>
      <c r="AG49" s="211">
        <f t="shared" si="57"/>
        <v>0</v>
      </c>
      <c r="AH49" s="211">
        <f t="shared" si="57"/>
        <v>0</v>
      </c>
      <c r="AI49" s="211">
        <f t="shared" si="57"/>
        <v>0</v>
      </c>
      <c r="AJ49" s="211">
        <f t="shared" si="57"/>
        <v>0</v>
      </c>
      <c r="AK49" s="211">
        <f t="shared" si="57"/>
        <v>0</v>
      </c>
      <c r="AL49" s="211">
        <f t="shared" ref="AL49:BQ49" si="58">IF(AL$22&lt;=$E$24,IF(AL$22&lt;=$D$24,IF(AL$22&lt;=$C$24,IF(AL$22&lt;=$B$24,$B115,($C32-$B32)/($C$24-$B$24)),($D32-$C32)/($D$24-$C$24)),($E32-$D32)/($E$24-$D$24)),$F115)</f>
        <v>0</v>
      </c>
      <c r="AM49" s="211">
        <f t="shared" si="58"/>
        <v>0</v>
      </c>
      <c r="AN49" s="211">
        <f t="shared" si="58"/>
        <v>0</v>
      </c>
      <c r="AO49" s="211">
        <f t="shared" si="58"/>
        <v>0</v>
      </c>
      <c r="AP49" s="211">
        <f t="shared" si="58"/>
        <v>0</v>
      </c>
      <c r="AQ49" s="211">
        <f t="shared" si="58"/>
        <v>0</v>
      </c>
      <c r="AR49" s="211">
        <f t="shared" si="58"/>
        <v>0</v>
      </c>
      <c r="AS49" s="211">
        <f t="shared" si="58"/>
        <v>0</v>
      </c>
      <c r="AT49" s="211">
        <f t="shared" si="58"/>
        <v>0</v>
      </c>
      <c r="AU49" s="211">
        <f t="shared" si="58"/>
        <v>0</v>
      </c>
      <c r="AV49" s="211">
        <f t="shared" si="58"/>
        <v>0</v>
      </c>
      <c r="AW49" s="211">
        <f t="shared" si="58"/>
        <v>0</v>
      </c>
      <c r="AX49" s="211">
        <f t="shared" si="58"/>
        <v>0</v>
      </c>
      <c r="AY49" s="211">
        <f t="shared" si="58"/>
        <v>0</v>
      </c>
      <c r="AZ49" s="211">
        <f t="shared" si="58"/>
        <v>0</v>
      </c>
      <c r="BA49" s="211">
        <f t="shared" si="58"/>
        <v>0</v>
      </c>
      <c r="BB49" s="211">
        <f t="shared" si="58"/>
        <v>0</v>
      </c>
      <c r="BC49" s="211">
        <f t="shared" si="58"/>
        <v>0</v>
      </c>
      <c r="BD49" s="211">
        <f t="shared" si="58"/>
        <v>4315.3280000000022</v>
      </c>
      <c r="BE49" s="211">
        <f t="shared" si="58"/>
        <v>4315.3280000000022</v>
      </c>
      <c r="BF49" s="211">
        <f t="shared" si="58"/>
        <v>4315.3280000000022</v>
      </c>
      <c r="BG49" s="211">
        <f t="shared" si="58"/>
        <v>4315.3280000000022</v>
      </c>
      <c r="BH49" s="211">
        <f t="shared" si="58"/>
        <v>4315.3280000000022</v>
      </c>
      <c r="BI49" s="211">
        <f t="shared" si="58"/>
        <v>4315.3280000000022</v>
      </c>
      <c r="BJ49" s="211">
        <f t="shared" si="58"/>
        <v>4315.3280000000022</v>
      </c>
      <c r="BK49" s="211">
        <f t="shared" si="58"/>
        <v>4315.3280000000022</v>
      </c>
      <c r="BL49" s="211">
        <f t="shared" si="58"/>
        <v>4315.3280000000022</v>
      </c>
      <c r="BM49" s="211">
        <f t="shared" si="58"/>
        <v>4315.3280000000022</v>
      </c>
      <c r="BN49" s="211">
        <f t="shared" si="58"/>
        <v>4315.3280000000022</v>
      </c>
      <c r="BO49" s="211">
        <f t="shared" si="58"/>
        <v>4315.3280000000022</v>
      </c>
      <c r="BP49" s="211">
        <f t="shared" si="58"/>
        <v>4315.3280000000022</v>
      </c>
      <c r="BQ49" s="211">
        <f t="shared" si="58"/>
        <v>4315.3280000000022</v>
      </c>
      <c r="BR49" s="211">
        <f t="shared" ref="BR49:DA49" si="59">IF(BR$22&lt;=$E$24,IF(BR$22&lt;=$D$24,IF(BR$22&lt;=$C$24,IF(BR$22&lt;=$B$24,$B115,($C32-$B32)/($C$24-$B$24)),($D32-$C32)/($D$24-$C$24)),($E32-$D32)/($E$24-$D$24)),$F115)</f>
        <v>4315.3280000000022</v>
      </c>
      <c r="BS49" s="211">
        <f t="shared" si="59"/>
        <v>4315.3280000000022</v>
      </c>
      <c r="BT49" s="211">
        <f t="shared" si="59"/>
        <v>4315.3280000000022</v>
      </c>
      <c r="BU49" s="211">
        <f t="shared" si="59"/>
        <v>4315.3280000000022</v>
      </c>
      <c r="BV49" s="211">
        <f t="shared" si="59"/>
        <v>4315.3280000000022</v>
      </c>
      <c r="BW49" s="211">
        <f t="shared" si="59"/>
        <v>4315.3280000000022</v>
      </c>
      <c r="BX49" s="211">
        <f t="shared" si="59"/>
        <v>4315.3280000000022</v>
      </c>
      <c r="BY49" s="211">
        <f t="shared" si="59"/>
        <v>4315.3280000000022</v>
      </c>
      <c r="BZ49" s="211">
        <f t="shared" si="59"/>
        <v>4315.3280000000022</v>
      </c>
      <c r="CA49" s="211">
        <f t="shared" si="59"/>
        <v>4315.3280000000022</v>
      </c>
      <c r="CB49" s="211">
        <f t="shared" si="59"/>
        <v>4315.3280000000022</v>
      </c>
      <c r="CC49" s="211">
        <f t="shared" si="59"/>
        <v>4315.3280000000022</v>
      </c>
      <c r="CD49" s="211">
        <f t="shared" si="59"/>
        <v>4315.3280000000022</v>
      </c>
      <c r="CE49" s="211">
        <f t="shared" si="59"/>
        <v>4315.3280000000022</v>
      </c>
      <c r="CF49" s="211">
        <f t="shared" si="59"/>
        <v>4315.3280000000022</v>
      </c>
      <c r="CG49" s="211">
        <f t="shared" si="59"/>
        <v>4315.3280000000022</v>
      </c>
      <c r="CH49" s="211">
        <f t="shared" si="59"/>
        <v>4315.3280000000022</v>
      </c>
      <c r="CI49" s="211">
        <f t="shared" si="59"/>
        <v>4315.3280000000022</v>
      </c>
      <c r="CJ49" s="211">
        <f t="shared" si="59"/>
        <v>4315.3280000000022</v>
      </c>
      <c r="CK49" s="211">
        <f t="shared" si="59"/>
        <v>4315.3280000000022</v>
      </c>
      <c r="CL49" s="211">
        <f t="shared" si="59"/>
        <v>4315.3280000000022</v>
      </c>
      <c r="CM49" s="211">
        <f t="shared" si="59"/>
        <v>4315.3280000000022</v>
      </c>
      <c r="CN49" s="211">
        <f t="shared" si="59"/>
        <v>4315.3280000000022</v>
      </c>
      <c r="CO49" s="211">
        <f t="shared" si="59"/>
        <v>4315.3280000000022</v>
      </c>
      <c r="CP49" s="211">
        <f t="shared" si="59"/>
        <v>4315.3280000000022</v>
      </c>
      <c r="CQ49" s="211">
        <f t="shared" si="59"/>
        <v>4315.3280000000022</v>
      </c>
      <c r="CR49" s="211">
        <f t="shared" si="59"/>
        <v>4315.3280000000022</v>
      </c>
      <c r="CS49" s="211">
        <f t="shared" si="59"/>
        <v>4315.3280000000022</v>
      </c>
      <c r="CT49" s="211">
        <f t="shared" si="59"/>
        <v>4315.3280000000022</v>
      </c>
      <c r="CU49" s="211">
        <f t="shared" si="59"/>
        <v>4315.3280000000022</v>
      </c>
      <c r="CV49" s="211">
        <f t="shared" si="59"/>
        <v>4315.3280000000022</v>
      </c>
      <c r="CW49" s="211">
        <f t="shared" si="59"/>
        <v>4315.3280000000022</v>
      </c>
      <c r="CX49" s="211">
        <f t="shared" si="59"/>
        <v>4315.3280000000022</v>
      </c>
      <c r="CY49" s="211">
        <f t="shared" si="59"/>
        <v>4315.3280000000022</v>
      </c>
      <c r="CZ49" s="211">
        <f t="shared" si="59"/>
        <v>4315.3280000000022</v>
      </c>
      <c r="DA49" s="211">
        <f t="shared" si="59"/>
        <v>4315.3280000000022</v>
      </c>
    </row>
    <row r="50" spans="1:105">
      <c r="A50" s="202" t="str">
        <f>Income!A81</f>
        <v>Self - employment</v>
      </c>
      <c r="F50" s="211">
        <f t="shared" ref="F50:AK50" si="60">IF(F$22&lt;=$E$24,IF(F$22&lt;=$D$24,IF(F$22&lt;=$C$24,IF(F$22&lt;=$B$24,$B116,($C33-$B33)/($C$24-$B$24)),($D33-$C33)/($D$24-$C$24)),($E33-$D33)/($E$24-$D$24)),$F116)</f>
        <v>0</v>
      </c>
      <c r="G50" s="211">
        <f t="shared" si="60"/>
        <v>0</v>
      </c>
      <c r="H50" s="211">
        <f t="shared" si="60"/>
        <v>0</v>
      </c>
      <c r="I50" s="211">
        <f t="shared" si="60"/>
        <v>0</v>
      </c>
      <c r="J50" s="211">
        <f t="shared" si="60"/>
        <v>0</v>
      </c>
      <c r="K50" s="211">
        <f t="shared" si="60"/>
        <v>0</v>
      </c>
      <c r="L50" s="211">
        <f t="shared" si="60"/>
        <v>0</v>
      </c>
      <c r="M50" s="211">
        <f t="shared" si="60"/>
        <v>0</v>
      </c>
      <c r="N50" s="211">
        <f t="shared" si="60"/>
        <v>0</v>
      </c>
      <c r="O50" s="211">
        <f t="shared" si="60"/>
        <v>0</v>
      </c>
      <c r="P50" s="211">
        <f t="shared" si="60"/>
        <v>0</v>
      </c>
      <c r="Q50" s="211">
        <f t="shared" si="60"/>
        <v>0</v>
      </c>
      <c r="R50" s="211">
        <f t="shared" si="60"/>
        <v>0</v>
      </c>
      <c r="S50" s="211">
        <f t="shared" si="60"/>
        <v>0</v>
      </c>
      <c r="T50" s="211">
        <f t="shared" si="60"/>
        <v>0</v>
      </c>
      <c r="U50" s="211">
        <f t="shared" si="60"/>
        <v>0</v>
      </c>
      <c r="V50" s="211">
        <f t="shared" si="60"/>
        <v>0</v>
      </c>
      <c r="W50" s="211">
        <f t="shared" si="60"/>
        <v>0</v>
      </c>
      <c r="X50" s="211">
        <f t="shared" si="60"/>
        <v>0</v>
      </c>
      <c r="Y50" s="211">
        <f t="shared" si="60"/>
        <v>0</v>
      </c>
      <c r="Z50" s="211">
        <f t="shared" si="60"/>
        <v>0</v>
      </c>
      <c r="AA50" s="211">
        <f t="shared" si="60"/>
        <v>0</v>
      </c>
      <c r="AB50" s="211">
        <f t="shared" si="60"/>
        <v>0</v>
      </c>
      <c r="AC50" s="211">
        <f t="shared" si="60"/>
        <v>0</v>
      </c>
      <c r="AD50" s="211">
        <f t="shared" si="60"/>
        <v>0</v>
      </c>
      <c r="AE50" s="211">
        <f t="shared" si="60"/>
        <v>22.857142857142875</v>
      </c>
      <c r="AF50" s="211">
        <f t="shared" si="60"/>
        <v>22.857142857142875</v>
      </c>
      <c r="AG50" s="211">
        <f t="shared" si="60"/>
        <v>22.857142857142875</v>
      </c>
      <c r="AH50" s="211">
        <f t="shared" si="60"/>
        <v>22.857142857142875</v>
      </c>
      <c r="AI50" s="211">
        <f t="shared" si="60"/>
        <v>22.857142857142875</v>
      </c>
      <c r="AJ50" s="211">
        <f t="shared" si="60"/>
        <v>22.857142857142875</v>
      </c>
      <c r="AK50" s="211">
        <f t="shared" si="60"/>
        <v>22.857142857142875</v>
      </c>
      <c r="AL50" s="211">
        <f t="shared" ref="AL50:BQ50" si="61">IF(AL$22&lt;=$E$24,IF(AL$22&lt;=$D$24,IF(AL$22&lt;=$C$24,IF(AL$22&lt;=$B$24,$B116,($C33-$B33)/($C$24-$B$24)),($D33-$C33)/($D$24-$C$24)),($E33-$D33)/($E$24-$D$24)),$F116)</f>
        <v>22.857142857142875</v>
      </c>
      <c r="AM50" s="211">
        <f t="shared" si="61"/>
        <v>22.857142857142875</v>
      </c>
      <c r="AN50" s="211">
        <f t="shared" si="61"/>
        <v>22.857142857142875</v>
      </c>
      <c r="AO50" s="211">
        <f t="shared" si="61"/>
        <v>22.857142857142875</v>
      </c>
      <c r="AP50" s="211">
        <f t="shared" si="61"/>
        <v>22.857142857142875</v>
      </c>
      <c r="AQ50" s="211">
        <f t="shared" si="61"/>
        <v>22.857142857142875</v>
      </c>
      <c r="AR50" s="211">
        <f t="shared" si="61"/>
        <v>22.857142857142875</v>
      </c>
      <c r="AS50" s="211">
        <f t="shared" si="61"/>
        <v>22.857142857142875</v>
      </c>
      <c r="AT50" s="211">
        <f t="shared" si="61"/>
        <v>22.857142857142875</v>
      </c>
      <c r="AU50" s="211">
        <f t="shared" si="61"/>
        <v>22.857142857142875</v>
      </c>
      <c r="AV50" s="211">
        <f t="shared" si="61"/>
        <v>22.857142857142875</v>
      </c>
      <c r="AW50" s="211">
        <f t="shared" si="61"/>
        <v>22.857142857142875</v>
      </c>
      <c r="AX50" s="211">
        <f t="shared" si="61"/>
        <v>22.857142857142875</v>
      </c>
      <c r="AY50" s="211">
        <f t="shared" si="61"/>
        <v>22.857142857142875</v>
      </c>
      <c r="AZ50" s="211">
        <f t="shared" si="61"/>
        <v>22.857142857142875</v>
      </c>
      <c r="BA50" s="211">
        <f t="shared" si="61"/>
        <v>22.857142857142875</v>
      </c>
      <c r="BB50" s="211">
        <f t="shared" si="61"/>
        <v>22.857142857142875</v>
      </c>
      <c r="BC50" s="211">
        <f t="shared" si="61"/>
        <v>22.857142857142875</v>
      </c>
      <c r="BD50" s="211">
        <f t="shared" si="61"/>
        <v>786.95519999999999</v>
      </c>
      <c r="BE50" s="211">
        <f t="shared" si="61"/>
        <v>786.95519999999999</v>
      </c>
      <c r="BF50" s="211">
        <f t="shared" si="61"/>
        <v>786.95519999999999</v>
      </c>
      <c r="BG50" s="211">
        <f t="shared" si="61"/>
        <v>786.95519999999999</v>
      </c>
      <c r="BH50" s="211">
        <f t="shared" si="61"/>
        <v>786.95519999999999</v>
      </c>
      <c r="BI50" s="211">
        <f t="shared" si="61"/>
        <v>786.95519999999999</v>
      </c>
      <c r="BJ50" s="211">
        <f t="shared" si="61"/>
        <v>786.95519999999999</v>
      </c>
      <c r="BK50" s="211">
        <f t="shared" si="61"/>
        <v>786.95519999999999</v>
      </c>
      <c r="BL50" s="211">
        <f t="shared" si="61"/>
        <v>786.95519999999999</v>
      </c>
      <c r="BM50" s="211">
        <f t="shared" si="61"/>
        <v>786.95519999999999</v>
      </c>
      <c r="BN50" s="211">
        <f t="shared" si="61"/>
        <v>786.95519999999999</v>
      </c>
      <c r="BO50" s="211">
        <f t="shared" si="61"/>
        <v>786.95519999999999</v>
      </c>
      <c r="BP50" s="211">
        <f t="shared" si="61"/>
        <v>786.95519999999999</v>
      </c>
      <c r="BQ50" s="211">
        <f t="shared" si="61"/>
        <v>786.95519999999999</v>
      </c>
      <c r="BR50" s="211">
        <f t="shared" ref="BR50:DA50" si="62">IF(BR$22&lt;=$E$24,IF(BR$22&lt;=$D$24,IF(BR$22&lt;=$C$24,IF(BR$22&lt;=$B$24,$B116,($C33-$B33)/($C$24-$B$24)),($D33-$C33)/($D$24-$C$24)),($E33-$D33)/($E$24-$D$24)),$F116)</f>
        <v>786.95519999999999</v>
      </c>
      <c r="BS50" s="211">
        <f t="shared" si="62"/>
        <v>786.95519999999999</v>
      </c>
      <c r="BT50" s="211">
        <f t="shared" si="62"/>
        <v>786.95519999999999</v>
      </c>
      <c r="BU50" s="211">
        <f t="shared" si="62"/>
        <v>786.95519999999999</v>
      </c>
      <c r="BV50" s="211">
        <f t="shared" si="62"/>
        <v>786.95519999999999</v>
      </c>
      <c r="BW50" s="211">
        <f t="shared" si="62"/>
        <v>786.95519999999999</v>
      </c>
      <c r="BX50" s="211">
        <f t="shared" si="62"/>
        <v>786.95519999999999</v>
      </c>
      <c r="BY50" s="211">
        <f t="shared" si="62"/>
        <v>786.95519999999999</v>
      </c>
      <c r="BZ50" s="211">
        <f t="shared" si="62"/>
        <v>786.95519999999999</v>
      </c>
      <c r="CA50" s="211">
        <f t="shared" si="62"/>
        <v>786.95519999999999</v>
      </c>
      <c r="CB50" s="211">
        <f t="shared" si="62"/>
        <v>786.95519999999999</v>
      </c>
      <c r="CC50" s="211">
        <f t="shared" si="62"/>
        <v>786.95519999999999</v>
      </c>
      <c r="CD50" s="211">
        <f t="shared" si="62"/>
        <v>786.95519999999999</v>
      </c>
      <c r="CE50" s="211">
        <f t="shared" si="62"/>
        <v>786.95519999999999</v>
      </c>
      <c r="CF50" s="211">
        <f t="shared" si="62"/>
        <v>786.95519999999999</v>
      </c>
      <c r="CG50" s="211">
        <f t="shared" si="62"/>
        <v>786.95519999999999</v>
      </c>
      <c r="CH50" s="211">
        <f t="shared" si="62"/>
        <v>786.95519999999999</v>
      </c>
      <c r="CI50" s="211">
        <f t="shared" si="62"/>
        <v>786.95519999999999</v>
      </c>
      <c r="CJ50" s="211">
        <f t="shared" si="62"/>
        <v>786.95519999999999</v>
      </c>
      <c r="CK50" s="211">
        <f t="shared" si="62"/>
        <v>786.95519999999999</v>
      </c>
      <c r="CL50" s="211">
        <f t="shared" si="62"/>
        <v>786.95519999999999</v>
      </c>
      <c r="CM50" s="211">
        <f t="shared" si="62"/>
        <v>786.95519999999999</v>
      </c>
      <c r="CN50" s="211">
        <f t="shared" si="62"/>
        <v>786.95519999999999</v>
      </c>
      <c r="CO50" s="211">
        <f t="shared" si="62"/>
        <v>786.95519999999999</v>
      </c>
      <c r="CP50" s="211">
        <f t="shared" si="62"/>
        <v>786.95519999999999</v>
      </c>
      <c r="CQ50" s="211">
        <f t="shared" si="62"/>
        <v>786.95519999999999</v>
      </c>
      <c r="CR50" s="211">
        <f t="shared" si="62"/>
        <v>786.95519999999999</v>
      </c>
      <c r="CS50" s="211">
        <f t="shared" si="62"/>
        <v>786.95519999999999</v>
      </c>
      <c r="CT50" s="211">
        <f t="shared" si="62"/>
        <v>786.95519999999999</v>
      </c>
      <c r="CU50" s="211">
        <f t="shared" si="62"/>
        <v>786.95519999999999</v>
      </c>
      <c r="CV50" s="211">
        <f t="shared" si="62"/>
        <v>786.95519999999999</v>
      </c>
      <c r="CW50" s="211">
        <f t="shared" si="62"/>
        <v>786.95519999999999</v>
      </c>
      <c r="CX50" s="211">
        <f t="shared" si="62"/>
        <v>786.95519999999999</v>
      </c>
      <c r="CY50" s="211">
        <f t="shared" si="62"/>
        <v>786.95519999999999</v>
      </c>
      <c r="CZ50" s="211">
        <f t="shared" si="62"/>
        <v>786.95519999999999</v>
      </c>
      <c r="DA50" s="211">
        <f t="shared" si="62"/>
        <v>786.95519999999999</v>
      </c>
    </row>
    <row r="51" spans="1:105">
      <c r="A51" s="202" t="str">
        <f>Income!A82</f>
        <v>Small business/petty trading</v>
      </c>
      <c r="F51" s="211">
        <f t="shared" ref="F51:AK51" si="63">IF(F$22&lt;=$E$24,IF(F$22&lt;=$D$24,IF(F$22&lt;=$C$24,IF(F$22&lt;=$B$24,$B117,($C34-$B34)/($C$24-$B$24)),($D34-$C34)/($D$24-$C$24)),($E34-$D34)/($E$24-$D$24)),$F117)</f>
        <v>0</v>
      </c>
      <c r="G51" s="211">
        <f t="shared" si="63"/>
        <v>0</v>
      </c>
      <c r="H51" s="211">
        <f t="shared" si="63"/>
        <v>0</v>
      </c>
      <c r="I51" s="211">
        <f t="shared" si="63"/>
        <v>0</v>
      </c>
      <c r="J51" s="211">
        <f t="shared" si="63"/>
        <v>0</v>
      </c>
      <c r="K51" s="211">
        <f t="shared" si="63"/>
        <v>0</v>
      </c>
      <c r="L51" s="211">
        <f t="shared" si="63"/>
        <v>0</v>
      </c>
      <c r="M51" s="211">
        <f t="shared" si="63"/>
        <v>0</v>
      </c>
      <c r="N51" s="211">
        <f t="shared" si="63"/>
        <v>0</v>
      </c>
      <c r="O51" s="211">
        <f t="shared" si="63"/>
        <v>0</v>
      </c>
      <c r="P51" s="211">
        <f t="shared" si="63"/>
        <v>0</v>
      </c>
      <c r="Q51" s="211">
        <f t="shared" si="63"/>
        <v>0</v>
      </c>
      <c r="R51" s="211">
        <f t="shared" si="63"/>
        <v>0</v>
      </c>
      <c r="S51" s="211">
        <f t="shared" si="63"/>
        <v>0</v>
      </c>
      <c r="T51" s="211">
        <f t="shared" si="63"/>
        <v>0</v>
      </c>
      <c r="U51" s="211">
        <f t="shared" si="63"/>
        <v>0</v>
      </c>
      <c r="V51" s="211">
        <f t="shared" si="63"/>
        <v>0</v>
      </c>
      <c r="W51" s="211">
        <f t="shared" si="63"/>
        <v>0</v>
      </c>
      <c r="X51" s="211">
        <f t="shared" si="63"/>
        <v>0</v>
      </c>
      <c r="Y51" s="211">
        <f t="shared" si="63"/>
        <v>0</v>
      </c>
      <c r="Z51" s="211">
        <f t="shared" si="63"/>
        <v>0</v>
      </c>
      <c r="AA51" s="211">
        <f t="shared" si="63"/>
        <v>0</v>
      </c>
      <c r="AB51" s="211">
        <f t="shared" si="63"/>
        <v>0</v>
      </c>
      <c r="AC51" s="211">
        <f t="shared" si="63"/>
        <v>0</v>
      </c>
      <c r="AD51" s="211">
        <f t="shared" si="63"/>
        <v>0</v>
      </c>
      <c r="AE51" s="211">
        <f t="shared" si="63"/>
        <v>38.400000000000006</v>
      </c>
      <c r="AF51" s="211">
        <f t="shared" si="63"/>
        <v>38.400000000000006</v>
      </c>
      <c r="AG51" s="211">
        <f t="shared" si="63"/>
        <v>38.400000000000006</v>
      </c>
      <c r="AH51" s="211">
        <f t="shared" si="63"/>
        <v>38.400000000000006</v>
      </c>
      <c r="AI51" s="211">
        <f t="shared" si="63"/>
        <v>38.400000000000006</v>
      </c>
      <c r="AJ51" s="211">
        <f t="shared" si="63"/>
        <v>38.400000000000006</v>
      </c>
      <c r="AK51" s="211">
        <f t="shared" si="63"/>
        <v>38.400000000000006</v>
      </c>
      <c r="AL51" s="211">
        <f t="shared" ref="AL51:BQ51" si="64">IF(AL$22&lt;=$E$24,IF(AL$22&lt;=$D$24,IF(AL$22&lt;=$C$24,IF(AL$22&lt;=$B$24,$B117,($C34-$B34)/($C$24-$B$24)),($D34-$C34)/($D$24-$C$24)),($E34-$D34)/($E$24-$D$24)),$F117)</f>
        <v>38.400000000000006</v>
      </c>
      <c r="AM51" s="211">
        <f t="shared" si="64"/>
        <v>38.400000000000006</v>
      </c>
      <c r="AN51" s="211">
        <f t="shared" si="64"/>
        <v>38.400000000000006</v>
      </c>
      <c r="AO51" s="211">
        <f t="shared" si="64"/>
        <v>38.400000000000006</v>
      </c>
      <c r="AP51" s="211">
        <f t="shared" si="64"/>
        <v>38.400000000000006</v>
      </c>
      <c r="AQ51" s="211">
        <f t="shared" si="64"/>
        <v>38.400000000000006</v>
      </c>
      <c r="AR51" s="211">
        <f t="shared" si="64"/>
        <v>38.400000000000006</v>
      </c>
      <c r="AS51" s="211">
        <f t="shared" si="64"/>
        <v>38.400000000000006</v>
      </c>
      <c r="AT51" s="211">
        <f t="shared" si="64"/>
        <v>38.400000000000006</v>
      </c>
      <c r="AU51" s="211">
        <f t="shared" si="64"/>
        <v>38.400000000000006</v>
      </c>
      <c r="AV51" s="211">
        <f t="shared" si="64"/>
        <v>38.400000000000006</v>
      </c>
      <c r="AW51" s="211">
        <f t="shared" si="64"/>
        <v>38.400000000000006</v>
      </c>
      <c r="AX51" s="211">
        <f t="shared" si="64"/>
        <v>38.400000000000006</v>
      </c>
      <c r="AY51" s="211">
        <f t="shared" si="64"/>
        <v>38.400000000000006</v>
      </c>
      <c r="AZ51" s="211">
        <f t="shared" si="64"/>
        <v>38.400000000000006</v>
      </c>
      <c r="BA51" s="211">
        <f t="shared" si="64"/>
        <v>38.400000000000006</v>
      </c>
      <c r="BB51" s="211">
        <f t="shared" si="64"/>
        <v>38.400000000000006</v>
      </c>
      <c r="BC51" s="211">
        <f t="shared" si="64"/>
        <v>38.400000000000006</v>
      </c>
      <c r="BD51" s="211">
        <f t="shared" si="64"/>
        <v>39.328899999999976</v>
      </c>
      <c r="BE51" s="211">
        <f t="shared" si="64"/>
        <v>39.328899999999976</v>
      </c>
      <c r="BF51" s="211">
        <f t="shared" si="64"/>
        <v>39.328899999999976</v>
      </c>
      <c r="BG51" s="211">
        <f t="shared" si="64"/>
        <v>39.328899999999976</v>
      </c>
      <c r="BH51" s="211">
        <f t="shared" si="64"/>
        <v>39.328899999999976</v>
      </c>
      <c r="BI51" s="211">
        <f t="shared" si="64"/>
        <v>39.328899999999976</v>
      </c>
      <c r="BJ51" s="211">
        <f t="shared" si="64"/>
        <v>39.328899999999976</v>
      </c>
      <c r="BK51" s="211">
        <f t="shared" si="64"/>
        <v>39.328899999999976</v>
      </c>
      <c r="BL51" s="211">
        <f t="shared" si="64"/>
        <v>39.328899999999976</v>
      </c>
      <c r="BM51" s="211">
        <f t="shared" si="64"/>
        <v>39.328899999999976</v>
      </c>
      <c r="BN51" s="211">
        <f t="shared" si="64"/>
        <v>39.328899999999976</v>
      </c>
      <c r="BO51" s="211">
        <f t="shared" si="64"/>
        <v>39.328899999999976</v>
      </c>
      <c r="BP51" s="211">
        <f t="shared" si="64"/>
        <v>39.328899999999976</v>
      </c>
      <c r="BQ51" s="211">
        <f t="shared" si="64"/>
        <v>39.328899999999976</v>
      </c>
      <c r="BR51" s="211">
        <f t="shared" ref="BR51:DA51" si="65">IF(BR$22&lt;=$E$24,IF(BR$22&lt;=$D$24,IF(BR$22&lt;=$C$24,IF(BR$22&lt;=$B$24,$B117,($C34-$B34)/($C$24-$B$24)),($D34-$C34)/($D$24-$C$24)),($E34-$D34)/($E$24-$D$24)),$F117)</f>
        <v>39.328899999999976</v>
      </c>
      <c r="BS51" s="211">
        <f t="shared" si="65"/>
        <v>39.328899999999976</v>
      </c>
      <c r="BT51" s="211">
        <f t="shared" si="65"/>
        <v>39.328899999999976</v>
      </c>
      <c r="BU51" s="211">
        <f t="shared" si="65"/>
        <v>39.328899999999976</v>
      </c>
      <c r="BV51" s="211">
        <f t="shared" si="65"/>
        <v>39.328899999999976</v>
      </c>
      <c r="BW51" s="211">
        <f t="shared" si="65"/>
        <v>39.328899999999976</v>
      </c>
      <c r="BX51" s="211">
        <f t="shared" si="65"/>
        <v>39.328899999999976</v>
      </c>
      <c r="BY51" s="211">
        <f t="shared" si="65"/>
        <v>39.328899999999976</v>
      </c>
      <c r="BZ51" s="211">
        <f t="shared" si="65"/>
        <v>39.328899999999976</v>
      </c>
      <c r="CA51" s="211">
        <f t="shared" si="65"/>
        <v>39.328899999999976</v>
      </c>
      <c r="CB51" s="211">
        <f t="shared" si="65"/>
        <v>39.328899999999976</v>
      </c>
      <c r="CC51" s="211">
        <f t="shared" si="65"/>
        <v>39.328899999999976</v>
      </c>
      <c r="CD51" s="211">
        <f t="shared" si="65"/>
        <v>39.328899999999976</v>
      </c>
      <c r="CE51" s="211">
        <f t="shared" si="65"/>
        <v>39.328899999999976</v>
      </c>
      <c r="CF51" s="211">
        <f t="shared" si="65"/>
        <v>39.328899999999976</v>
      </c>
      <c r="CG51" s="211">
        <f t="shared" si="65"/>
        <v>39.328899999999976</v>
      </c>
      <c r="CH51" s="211">
        <f t="shared" si="65"/>
        <v>39.328899999999976</v>
      </c>
      <c r="CI51" s="211">
        <f t="shared" si="65"/>
        <v>39.328899999999976</v>
      </c>
      <c r="CJ51" s="211">
        <f t="shared" si="65"/>
        <v>39.328899999999976</v>
      </c>
      <c r="CK51" s="211">
        <f t="shared" si="65"/>
        <v>39.328899999999976</v>
      </c>
      <c r="CL51" s="211">
        <f t="shared" si="65"/>
        <v>39.328899999999976</v>
      </c>
      <c r="CM51" s="211">
        <f t="shared" si="65"/>
        <v>39.328899999999976</v>
      </c>
      <c r="CN51" s="211">
        <f t="shared" si="65"/>
        <v>39.328899999999976</v>
      </c>
      <c r="CO51" s="211">
        <f t="shared" si="65"/>
        <v>39.328899999999976</v>
      </c>
      <c r="CP51" s="211">
        <f t="shared" si="65"/>
        <v>39.328899999999976</v>
      </c>
      <c r="CQ51" s="211">
        <f t="shared" si="65"/>
        <v>39.328899999999976</v>
      </c>
      <c r="CR51" s="211">
        <f t="shared" si="65"/>
        <v>39.328899999999976</v>
      </c>
      <c r="CS51" s="211">
        <f t="shared" si="65"/>
        <v>39.328899999999976</v>
      </c>
      <c r="CT51" s="211">
        <f t="shared" si="65"/>
        <v>39.328899999999976</v>
      </c>
      <c r="CU51" s="211">
        <f t="shared" si="65"/>
        <v>39.328899999999976</v>
      </c>
      <c r="CV51" s="211">
        <f t="shared" si="65"/>
        <v>39.328899999999976</v>
      </c>
      <c r="CW51" s="211">
        <f t="shared" si="65"/>
        <v>39.328899999999976</v>
      </c>
      <c r="CX51" s="211">
        <f t="shared" si="65"/>
        <v>39.328899999999976</v>
      </c>
      <c r="CY51" s="211">
        <f t="shared" si="65"/>
        <v>39.328899999999976</v>
      </c>
      <c r="CZ51" s="211">
        <f t="shared" si="65"/>
        <v>39.328899999999976</v>
      </c>
      <c r="DA51" s="211">
        <f t="shared" si="65"/>
        <v>39.328899999999976</v>
      </c>
    </row>
    <row r="52" spans="1:105">
      <c r="A52" s="202" t="str">
        <f>Income!A83</f>
        <v>Food transfer - official</v>
      </c>
      <c r="F52" s="211">
        <f t="shared" ref="F52:AK52" si="66">IF(F$22&lt;=$E$24,IF(F$22&lt;=$D$24,IF(F$22&lt;=$C$24,IF(F$22&lt;=$B$24,$B118,($C35-$B35)/($C$24-$B$24)),($D35-$C35)/($D$24-$C$24)),($E35-$D35)/($E$24-$D$24)),$F118)</f>
        <v>0</v>
      </c>
      <c r="G52" s="211">
        <f t="shared" si="66"/>
        <v>0</v>
      </c>
      <c r="H52" s="211">
        <f t="shared" si="66"/>
        <v>0</v>
      </c>
      <c r="I52" s="211">
        <f t="shared" si="66"/>
        <v>0</v>
      </c>
      <c r="J52" s="211">
        <f t="shared" si="66"/>
        <v>0</v>
      </c>
      <c r="K52" s="211">
        <f t="shared" si="66"/>
        <v>0</v>
      </c>
      <c r="L52" s="211">
        <f t="shared" si="66"/>
        <v>0</v>
      </c>
      <c r="M52" s="211">
        <f t="shared" si="66"/>
        <v>0</v>
      </c>
      <c r="N52" s="211">
        <f t="shared" si="66"/>
        <v>0</v>
      </c>
      <c r="O52" s="211">
        <f t="shared" si="66"/>
        <v>0</v>
      </c>
      <c r="P52" s="211">
        <f t="shared" si="66"/>
        <v>0</v>
      </c>
      <c r="Q52" s="211">
        <f t="shared" si="66"/>
        <v>0</v>
      </c>
      <c r="R52" s="211">
        <f t="shared" si="66"/>
        <v>0</v>
      </c>
      <c r="S52" s="211">
        <f t="shared" si="66"/>
        <v>0</v>
      </c>
      <c r="T52" s="211">
        <f t="shared" si="66"/>
        <v>0</v>
      </c>
      <c r="U52" s="211">
        <f t="shared" si="66"/>
        <v>0</v>
      </c>
      <c r="V52" s="211">
        <f t="shared" si="66"/>
        <v>0</v>
      </c>
      <c r="W52" s="211">
        <f t="shared" si="66"/>
        <v>0</v>
      </c>
      <c r="X52" s="211">
        <f t="shared" si="66"/>
        <v>0</v>
      </c>
      <c r="Y52" s="211">
        <f t="shared" si="66"/>
        <v>0</v>
      </c>
      <c r="Z52" s="211">
        <f t="shared" si="66"/>
        <v>0</v>
      </c>
      <c r="AA52" s="211">
        <f t="shared" si="66"/>
        <v>0</v>
      </c>
      <c r="AB52" s="211">
        <f t="shared" si="66"/>
        <v>0</v>
      </c>
      <c r="AC52" s="211">
        <f t="shared" si="66"/>
        <v>0</v>
      </c>
      <c r="AD52" s="211">
        <f t="shared" si="66"/>
        <v>0</v>
      </c>
      <c r="AE52" s="211">
        <f t="shared" si="66"/>
        <v>-0.49767416503282313</v>
      </c>
      <c r="AF52" s="211">
        <f t="shared" si="66"/>
        <v>-0.49767416503282313</v>
      </c>
      <c r="AG52" s="211">
        <f t="shared" si="66"/>
        <v>-0.49767416503282313</v>
      </c>
      <c r="AH52" s="211">
        <f t="shared" si="66"/>
        <v>-0.49767416503282313</v>
      </c>
      <c r="AI52" s="211">
        <f t="shared" si="66"/>
        <v>-0.49767416503282313</v>
      </c>
      <c r="AJ52" s="211">
        <f t="shared" si="66"/>
        <v>-0.49767416503282313</v>
      </c>
      <c r="AK52" s="211">
        <f t="shared" si="66"/>
        <v>-0.49767416503282313</v>
      </c>
      <c r="AL52" s="211">
        <f t="shared" ref="AL52:BQ52" si="67">IF(AL$22&lt;=$E$24,IF(AL$22&lt;=$D$24,IF(AL$22&lt;=$C$24,IF(AL$22&lt;=$B$24,$B118,($C35-$B35)/($C$24-$B$24)),($D35-$C35)/($D$24-$C$24)),($E35-$D35)/($E$24-$D$24)),$F118)</f>
        <v>-0.49767416503282313</v>
      </c>
      <c r="AM52" s="211">
        <f t="shared" si="67"/>
        <v>-0.49767416503282313</v>
      </c>
      <c r="AN52" s="211">
        <f t="shared" si="67"/>
        <v>-0.49767416503282313</v>
      </c>
      <c r="AO52" s="211">
        <f t="shared" si="67"/>
        <v>-0.49767416503282313</v>
      </c>
      <c r="AP52" s="211">
        <f t="shared" si="67"/>
        <v>-0.49767416503282313</v>
      </c>
      <c r="AQ52" s="211">
        <f t="shared" si="67"/>
        <v>-0.49767416503282313</v>
      </c>
      <c r="AR52" s="211">
        <f t="shared" si="67"/>
        <v>-0.49767416503282313</v>
      </c>
      <c r="AS52" s="211">
        <f t="shared" si="67"/>
        <v>-0.49767416503282313</v>
      </c>
      <c r="AT52" s="211">
        <f t="shared" si="67"/>
        <v>-0.49767416503282313</v>
      </c>
      <c r="AU52" s="211">
        <f t="shared" si="67"/>
        <v>-0.49767416503282313</v>
      </c>
      <c r="AV52" s="211">
        <f t="shared" si="67"/>
        <v>-0.49767416503282313</v>
      </c>
      <c r="AW52" s="211">
        <f t="shared" si="67"/>
        <v>-0.49767416503282313</v>
      </c>
      <c r="AX52" s="211">
        <f t="shared" si="67"/>
        <v>-0.49767416503282313</v>
      </c>
      <c r="AY52" s="211">
        <f t="shared" si="67"/>
        <v>-0.49767416503282313</v>
      </c>
      <c r="AZ52" s="211">
        <f t="shared" si="67"/>
        <v>-0.49767416503282313</v>
      </c>
      <c r="BA52" s="211">
        <f t="shared" si="67"/>
        <v>-0.49767416503282313</v>
      </c>
      <c r="BB52" s="211">
        <f t="shared" si="67"/>
        <v>-0.49767416503282313</v>
      </c>
      <c r="BC52" s="211">
        <f t="shared" si="67"/>
        <v>-0.49767416503282313</v>
      </c>
      <c r="BD52" s="211">
        <f t="shared" si="67"/>
        <v>-38.248799999999974</v>
      </c>
      <c r="BE52" s="211">
        <f t="shared" si="67"/>
        <v>-38.248799999999974</v>
      </c>
      <c r="BF52" s="211">
        <f t="shared" si="67"/>
        <v>-38.248799999999974</v>
      </c>
      <c r="BG52" s="211">
        <f t="shared" si="67"/>
        <v>-38.248799999999974</v>
      </c>
      <c r="BH52" s="211">
        <f t="shared" si="67"/>
        <v>-38.248799999999974</v>
      </c>
      <c r="BI52" s="211">
        <f t="shared" si="67"/>
        <v>-38.248799999999974</v>
      </c>
      <c r="BJ52" s="211">
        <f t="shared" si="67"/>
        <v>-38.248799999999974</v>
      </c>
      <c r="BK52" s="211">
        <f t="shared" si="67"/>
        <v>-38.248799999999974</v>
      </c>
      <c r="BL52" s="211">
        <f t="shared" si="67"/>
        <v>-38.248799999999974</v>
      </c>
      <c r="BM52" s="211">
        <f t="shared" si="67"/>
        <v>-38.248799999999974</v>
      </c>
      <c r="BN52" s="211">
        <f t="shared" si="67"/>
        <v>-38.248799999999974</v>
      </c>
      <c r="BO52" s="211">
        <f t="shared" si="67"/>
        <v>-38.248799999999974</v>
      </c>
      <c r="BP52" s="211">
        <f t="shared" si="67"/>
        <v>-38.248799999999974</v>
      </c>
      <c r="BQ52" s="211">
        <f t="shared" si="67"/>
        <v>-38.248799999999974</v>
      </c>
      <c r="BR52" s="211">
        <f t="shared" ref="BR52:DA52" si="68">IF(BR$22&lt;=$E$24,IF(BR$22&lt;=$D$24,IF(BR$22&lt;=$C$24,IF(BR$22&lt;=$B$24,$B118,($C35-$B35)/($C$24-$B$24)),($D35-$C35)/($D$24-$C$24)),($E35-$D35)/($E$24-$D$24)),$F118)</f>
        <v>-38.248799999999974</v>
      </c>
      <c r="BS52" s="211">
        <f t="shared" si="68"/>
        <v>-38.248799999999974</v>
      </c>
      <c r="BT52" s="211">
        <f t="shared" si="68"/>
        <v>-38.248799999999974</v>
      </c>
      <c r="BU52" s="211">
        <f t="shared" si="68"/>
        <v>-38.248799999999974</v>
      </c>
      <c r="BV52" s="211">
        <f t="shared" si="68"/>
        <v>-38.248799999999974</v>
      </c>
      <c r="BW52" s="211">
        <f t="shared" si="68"/>
        <v>-38.248799999999974</v>
      </c>
      <c r="BX52" s="211">
        <f t="shared" si="68"/>
        <v>-38.248799999999974</v>
      </c>
      <c r="BY52" s="211">
        <f t="shared" si="68"/>
        <v>-38.248799999999974</v>
      </c>
      <c r="BZ52" s="211">
        <f t="shared" si="68"/>
        <v>-38.248799999999974</v>
      </c>
      <c r="CA52" s="211">
        <f t="shared" si="68"/>
        <v>-38.248799999999974</v>
      </c>
      <c r="CB52" s="211">
        <f t="shared" si="68"/>
        <v>-38.248799999999974</v>
      </c>
      <c r="CC52" s="211">
        <f t="shared" si="68"/>
        <v>-38.248799999999974</v>
      </c>
      <c r="CD52" s="211">
        <f t="shared" si="68"/>
        <v>-38.248799999999974</v>
      </c>
      <c r="CE52" s="211">
        <f t="shared" si="68"/>
        <v>-38.248799999999974</v>
      </c>
      <c r="CF52" s="211">
        <f t="shared" si="68"/>
        <v>-38.248799999999974</v>
      </c>
      <c r="CG52" s="211">
        <f t="shared" si="68"/>
        <v>-38.248799999999974</v>
      </c>
      <c r="CH52" s="211">
        <f t="shared" si="68"/>
        <v>-38.248799999999974</v>
      </c>
      <c r="CI52" s="211">
        <f t="shared" si="68"/>
        <v>-38.248799999999974</v>
      </c>
      <c r="CJ52" s="211">
        <f t="shared" si="68"/>
        <v>-38.248799999999974</v>
      </c>
      <c r="CK52" s="211">
        <f t="shared" si="68"/>
        <v>-38.248799999999974</v>
      </c>
      <c r="CL52" s="211">
        <f t="shared" si="68"/>
        <v>-38.248799999999974</v>
      </c>
      <c r="CM52" s="211">
        <f t="shared" si="68"/>
        <v>-38.248799999999974</v>
      </c>
      <c r="CN52" s="211">
        <f t="shared" si="68"/>
        <v>-38.248799999999974</v>
      </c>
      <c r="CO52" s="211">
        <f t="shared" si="68"/>
        <v>-38.248799999999974</v>
      </c>
      <c r="CP52" s="211">
        <f t="shared" si="68"/>
        <v>-38.248799999999974</v>
      </c>
      <c r="CQ52" s="211">
        <f t="shared" si="68"/>
        <v>-38.248799999999974</v>
      </c>
      <c r="CR52" s="211">
        <f t="shared" si="68"/>
        <v>-38.248799999999974</v>
      </c>
      <c r="CS52" s="211">
        <f t="shared" si="68"/>
        <v>-38.248799999999974</v>
      </c>
      <c r="CT52" s="211">
        <f t="shared" si="68"/>
        <v>-38.248799999999974</v>
      </c>
      <c r="CU52" s="211">
        <f t="shared" si="68"/>
        <v>-38.248799999999974</v>
      </c>
      <c r="CV52" s="211">
        <f t="shared" si="68"/>
        <v>-38.248799999999974</v>
      </c>
      <c r="CW52" s="211">
        <f t="shared" si="68"/>
        <v>-38.248799999999974</v>
      </c>
      <c r="CX52" s="211">
        <f t="shared" si="68"/>
        <v>-38.248799999999974</v>
      </c>
      <c r="CY52" s="211">
        <f t="shared" si="68"/>
        <v>-38.248799999999974</v>
      </c>
      <c r="CZ52" s="211">
        <f t="shared" si="68"/>
        <v>-38.248799999999974</v>
      </c>
      <c r="DA52" s="211">
        <f t="shared" si="68"/>
        <v>-38.248799999999974</v>
      </c>
    </row>
    <row r="53" spans="1:105">
      <c r="A53" s="202" t="str">
        <f>Income!A85</f>
        <v>Cash transfer - official</v>
      </c>
      <c r="F53" s="211">
        <f t="shared" ref="F53:AK53" si="69">IF(F$22&lt;=$E$24,IF(F$22&lt;=$D$24,IF(F$22&lt;=$C$24,IF(F$22&lt;=$B$24,$B119,($C36-$B36)/($C$24-$B$24)),($D36-$C36)/($D$24-$C$24)),($E36-$D36)/($E$24-$D$24)),$F119)</f>
        <v>0</v>
      </c>
      <c r="G53" s="211">
        <f t="shared" si="69"/>
        <v>0</v>
      </c>
      <c r="H53" s="211">
        <f t="shared" si="69"/>
        <v>0</v>
      </c>
      <c r="I53" s="211">
        <f t="shared" si="69"/>
        <v>0</v>
      </c>
      <c r="J53" s="211">
        <f t="shared" si="69"/>
        <v>0</v>
      </c>
      <c r="K53" s="211">
        <f t="shared" si="69"/>
        <v>0</v>
      </c>
      <c r="L53" s="211">
        <f t="shared" si="69"/>
        <v>0</v>
      </c>
      <c r="M53" s="211">
        <f t="shared" si="69"/>
        <v>0</v>
      </c>
      <c r="N53" s="211">
        <f t="shared" si="69"/>
        <v>0</v>
      </c>
      <c r="O53" s="211">
        <f t="shared" si="69"/>
        <v>0</v>
      </c>
      <c r="P53" s="211">
        <f t="shared" si="69"/>
        <v>0</v>
      </c>
      <c r="Q53" s="211">
        <f t="shared" si="69"/>
        <v>0</v>
      </c>
      <c r="R53" s="211">
        <f t="shared" si="69"/>
        <v>0</v>
      </c>
      <c r="S53" s="211">
        <f t="shared" si="69"/>
        <v>0</v>
      </c>
      <c r="T53" s="211">
        <f t="shared" si="69"/>
        <v>0</v>
      </c>
      <c r="U53" s="211">
        <f t="shared" si="69"/>
        <v>0</v>
      </c>
      <c r="V53" s="211">
        <f t="shared" si="69"/>
        <v>0</v>
      </c>
      <c r="W53" s="211">
        <f t="shared" si="69"/>
        <v>0</v>
      </c>
      <c r="X53" s="211">
        <f t="shared" si="69"/>
        <v>0</v>
      </c>
      <c r="Y53" s="211">
        <f t="shared" si="69"/>
        <v>0</v>
      </c>
      <c r="Z53" s="211">
        <f t="shared" si="69"/>
        <v>0</v>
      </c>
      <c r="AA53" s="211">
        <f t="shared" si="69"/>
        <v>0</v>
      </c>
      <c r="AB53" s="211">
        <f t="shared" si="69"/>
        <v>0</v>
      </c>
      <c r="AC53" s="211">
        <f t="shared" si="69"/>
        <v>0</v>
      </c>
      <c r="AD53" s="211">
        <f t="shared" si="69"/>
        <v>0</v>
      </c>
      <c r="AE53" s="211">
        <f t="shared" si="69"/>
        <v>0</v>
      </c>
      <c r="AF53" s="211">
        <f t="shared" si="69"/>
        <v>0</v>
      </c>
      <c r="AG53" s="211">
        <f t="shared" si="69"/>
        <v>0</v>
      </c>
      <c r="AH53" s="211">
        <f t="shared" si="69"/>
        <v>0</v>
      </c>
      <c r="AI53" s="211">
        <f t="shared" si="69"/>
        <v>0</v>
      </c>
      <c r="AJ53" s="211">
        <f t="shared" si="69"/>
        <v>0</v>
      </c>
      <c r="AK53" s="211">
        <f t="shared" si="69"/>
        <v>0</v>
      </c>
      <c r="AL53" s="211">
        <f t="shared" ref="AL53:BQ53" si="70">IF(AL$22&lt;=$E$24,IF(AL$22&lt;=$D$24,IF(AL$22&lt;=$C$24,IF(AL$22&lt;=$B$24,$B119,($C36-$B36)/($C$24-$B$24)),($D36-$C36)/($D$24-$C$24)),($E36-$D36)/($E$24-$D$24)),$F119)</f>
        <v>0</v>
      </c>
      <c r="AM53" s="211">
        <f t="shared" si="70"/>
        <v>0</v>
      </c>
      <c r="AN53" s="211">
        <f t="shared" si="70"/>
        <v>0</v>
      </c>
      <c r="AO53" s="211">
        <f t="shared" si="70"/>
        <v>0</v>
      </c>
      <c r="AP53" s="211">
        <f t="shared" si="70"/>
        <v>0</v>
      </c>
      <c r="AQ53" s="211">
        <f t="shared" si="70"/>
        <v>0</v>
      </c>
      <c r="AR53" s="211">
        <f t="shared" si="70"/>
        <v>0</v>
      </c>
      <c r="AS53" s="211">
        <f t="shared" si="70"/>
        <v>0</v>
      </c>
      <c r="AT53" s="211">
        <f t="shared" si="70"/>
        <v>0</v>
      </c>
      <c r="AU53" s="211">
        <f t="shared" si="70"/>
        <v>0</v>
      </c>
      <c r="AV53" s="211">
        <f t="shared" si="70"/>
        <v>0</v>
      </c>
      <c r="AW53" s="211">
        <f t="shared" si="70"/>
        <v>0</v>
      </c>
      <c r="AX53" s="211">
        <f t="shared" si="70"/>
        <v>0</v>
      </c>
      <c r="AY53" s="211">
        <f t="shared" si="70"/>
        <v>0</v>
      </c>
      <c r="AZ53" s="211">
        <f t="shared" si="70"/>
        <v>0</v>
      </c>
      <c r="BA53" s="211">
        <f t="shared" si="70"/>
        <v>0</v>
      </c>
      <c r="BB53" s="211">
        <f t="shared" si="70"/>
        <v>0</v>
      </c>
      <c r="BC53" s="211">
        <f t="shared" si="70"/>
        <v>0</v>
      </c>
      <c r="BD53" s="211">
        <f t="shared" si="70"/>
        <v>169.82929999999976</v>
      </c>
      <c r="BE53" s="211">
        <f t="shared" si="70"/>
        <v>169.82929999999976</v>
      </c>
      <c r="BF53" s="211">
        <f t="shared" si="70"/>
        <v>169.82929999999976</v>
      </c>
      <c r="BG53" s="211">
        <f t="shared" si="70"/>
        <v>169.82929999999976</v>
      </c>
      <c r="BH53" s="211">
        <f t="shared" si="70"/>
        <v>169.82929999999976</v>
      </c>
      <c r="BI53" s="211">
        <f t="shared" si="70"/>
        <v>169.82929999999976</v>
      </c>
      <c r="BJ53" s="211">
        <f t="shared" si="70"/>
        <v>169.82929999999976</v>
      </c>
      <c r="BK53" s="211">
        <f t="shared" si="70"/>
        <v>169.82929999999976</v>
      </c>
      <c r="BL53" s="211">
        <f t="shared" si="70"/>
        <v>169.82929999999976</v>
      </c>
      <c r="BM53" s="211">
        <f t="shared" si="70"/>
        <v>169.82929999999976</v>
      </c>
      <c r="BN53" s="211">
        <f t="shared" si="70"/>
        <v>169.82929999999976</v>
      </c>
      <c r="BO53" s="211">
        <f t="shared" si="70"/>
        <v>169.82929999999976</v>
      </c>
      <c r="BP53" s="211">
        <f t="shared" si="70"/>
        <v>169.82929999999976</v>
      </c>
      <c r="BQ53" s="211">
        <f t="shared" si="70"/>
        <v>169.82929999999976</v>
      </c>
      <c r="BR53" s="211">
        <f t="shared" ref="BR53:DA53" si="71">IF(BR$22&lt;=$E$24,IF(BR$22&lt;=$D$24,IF(BR$22&lt;=$C$24,IF(BR$22&lt;=$B$24,$B119,($C36-$B36)/($C$24-$B$24)),($D36-$C36)/($D$24-$C$24)),($E36-$D36)/($E$24-$D$24)),$F119)</f>
        <v>169.82929999999976</v>
      </c>
      <c r="BS53" s="211">
        <f t="shared" si="71"/>
        <v>169.82929999999976</v>
      </c>
      <c r="BT53" s="211">
        <f t="shared" si="71"/>
        <v>169.82929999999976</v>
      </c>
      <c r="BU53" s="211">
        <f t="shared" si="71"/>
        <v>169.82929999999976</v>
      </c>
      <c r="BV53" s="211">
        <f t="shared" si="71"/>
        <v>169.82929999999976</v>
      </c>
      <c r="BW53" s="211">
        <f t="shared" si="71"/>
        <v>169.82929999999976</v>
      </c>
      <c r="BX53" s="211">
        <f t="shared" si="71"/>
        <v>169.82929999999976</v>
      </c>
      <c r="BY53" s="211">
        <f t="shared" si="71"/>
        <v>169.82929999999976</v>
      </c>
      <c r="BZ53" s="211">
        <f t="shared" si="71"/>
        <v>169.82929999999976</v>
      </c>
      <c r="CA53" s="211">
        <f t="shared" si="71"/>
        <v>169.82929999999976</v>
      </c>
      <c r="CB53" s="211">
        <f t="shared" si="71"/>
        <v>169.82929999999976</v>
      </c>
      <c r="CC53" s="211">
        <f t="shared" si="71"/>
        <v>169.82929999999976</v>
      </c>
      <c r="CD53" s="211">
        <f t="shared" si="71"/>
        <v>169.82929999999976</v>
      </c>
      <c r="CE53" s="211">
        <f t="shared" si="71"/>
        <v>169.82929999999976</v>
      </c>
      <c r="CF53" s="211">
        <f t="shared" si="71"/>
        <v>169.82929999999976</v>
      </c>
      <c r="CG53" s="211">
        <f t="shared" si="71"/>
        <v>169.82929999999976</v>
      </c>
      <c r="CH53" s="211">
        <f t="shared" si="71"/>
        <v>169.82929999999976</v>
      </c>
      <c r="CI53" s="211">
        <f t="shared" si="71"/>
        <v>169.82929999999976</v>
      </c>
      <c r="CJ53" s="211">
        <f t="shared" si="71"/>
        <v>169.82929999999976</v>
      </c>
      <c r="CK53" s="211">
        <f t="shared" si="71"/>
        <v>169.82929999999976</v>
      </c>
      <c r="CL53" s="211">
        <f t="shared" si="71"/>
        <v>169.82929999999976</v>
      </c>
      <c r="CM53" s="211">
        <f t="shared" si="71"/>
        <v>169.82929999999976</v>
      </c>
      <c r="CN53" s="211">
        <f t="shared" si="71"/>
        <v>169.82929999999976</v>
      </c>
      <c r="CO53" s="211">
        <f t="shared" si="71"/>
        <v>169.82929999999976</v>
      </c>
      <c r="CP53" s="211">
        <f t="shared" si="71"/>
        <v>169.82929999999976</v>
      </c>
      <c r="CQ53" s="211">
        <f t="shared" si="71"/>
        <v>169.82929999999976</v>
      </c>
      <c r="CR53" s="211">
        <f t="shared" si="71"/>
        <v>169.82929999999976</v>
      </c>
      <c r="CS53" s="211">
        <f t="shared" si="71"/>
        <v>169.82929999999976</v>
      </c>
      <c r="CT53" s="211">
        <f t="shared" si="71"/>
        <v>169.82929999999976</v>
      </c>
      <c r="CU53" s="211">
        <f t="shared" si="71"/>
        <v>169.82929999999976</v>
      </c>
      <c r="CV53" s="211">
        <f t="shared" si="71"/>
        <v>169.82929999999976</v>
      </c>
      <c r="CW53" s="211">
        <f t="shared" si="71"/>
        <v>169.82929999999976</v>
      </c>
      <c r="CX53" s="211">
        <f t="shared" si="71"/>
        <v>169.82929999999976</v>
      </c>
      <c r="CY53" s="211">
        <f t="shared" si="71"/>
        <v>169.82929999999976</v>
      </c>
      <c r="CZ53" s="211">
        <f t="shared" si="71"/>
        <v>169.82929999999976</v>
      </c>
      <c r="DA53" s="211">
        <f t="shared" si="71"/>
        <v>169.82929999999976</v>
      </c>
    </row>
    <row r="54" spans="1:105">
      <c r="A54" s="202" t="str">
        <f>Income!A86</f>
        <v>Cash transfer - gifts</v>
      </c>
      <c r="F54" s="211">
        <f t="shared" ref="F54:AK54" si="72">IF(F$22&lt;=$E$24,IF(F$22&lt;=$D$24,IF(F$22&lt;=$C$24,IF(F$22&lt;=$B$24,$B120,($C37-$B37)/($C$24-$B$24)),($D37-$C37)/($D$24-$C$24)),($E37-$D37)/($E$24-$D$24)),$F120)</f>
        <v>0</v>
      </c>
      <c r="G54" s="211">
        <f t="shared" si="72"/>
        <v>0</v>
      </c>
      <c r="H54" s="211">
        <f t="shared" si="72"/>
        <v>0</v>
      </c>
      <c r="I54" s="211">
        <f t="shared" si="72"/>
        <v>0</v>
      </c>
      <c r="J54" s="211">
        <f t="shared" si="72"/>
        <v>0</v>
      </c>
      <c r="K54" s="211">
        <f t="shared" si="72"/>
        <v>0</v>
      </c>
      <c r="L54" s="211">
        <f t="shared" si="72"/>
        <v>0</v>
      </c>
      <c r="M54" s="211">
        <f t="shared" si="72"/>
        <v>0</v>
      </c>
      <c r="N54" s="211">
        <f t="shared" si="72"/>
        <v>0</v>
      </c>
      <c r="O54" s="211">
        <f t="shared" si="72"/>
        <v>0</v>
      </c>
      <c r="P54" s="211">
        <f t="shared" si="72"/>
        <v>0</v>
      </c>
      <c r="Q54" s="211">
        <f t="shared" si="72"/>
        <v>0</v>
      </c>
      <c r="R54" s="211">
        <f t="shared" si="72"/>
        <v>0</v>
      </c>
      <c r="S54" s="211">
        <f t="shared" si="72"/>
        <v>0</v>
      </c>
      <c r="T54" s="211">
        <f t="shared" si="72"/>
        <v>0</v>
      </c>
      <c r="U54" s="211">
        <f t="shared" si="72"/>
        <v>0</v>
      </c>
      <c r="V54" s="211">
        <f t="shared" si="72"/>
        <v>0</v>
      </c>
      <c r="W54" s="211">
        <f t="shared" si="72"/>
        <v>0</v>
      </c>
      <c r="X54" s="211">
        <f t="shared" si="72"/>
        <v>0</v>
      </c>
      <c r="Y54" s="211">
        <f t="shared" si="72"/>
        <v>0</v>
      </c>
      <c r="Z54" s="211">
        <f t="shared" si="72"/>
        <v>0</v>
      </c>
      <c r="AA54" s="211">
        <f t="shared" si="72"/>
        <v>0</v>
      </c>
      <c r="AB54" s="211">
        <f t="shared" si="72"/>
        <v>0</v>
      </c>
      <c r="AC54" s="211">
        <f t="shared" si="72"/>
        <v>0</v>
      </c>
      <c r="AD54" s="211">
        <f t="shared" si="72"/>
        <v>0</v>
      </c>
      <c r="AE54" s="211">
        <f t="shared" si="72"/>
        <v>54.857142857142854</v>
      </c>
      <c r="AF54" s="211">
        <f t="shared" si="72"/>
        <v>54.857142857142854</v>
      </c>
      <c r="AG54" s="211">
        <f t="shared" si="72"/>
        <v>54.857142857142854</v>
      </c>
      <c r="AH54" s="211">
        <f t="shared" si="72"/>
        <v>54.857142857142854</v>
      </c>
      <c r="AI54" s="211">
        <f t="shared" si="72"/>
        <v>54.857142857142854</v>
      </c>
      <c r="AJ54" s="211">
        <f t="shared" si="72"/>
        <v>54.857142857142854</v>
      </c>
      <c r="AK54" s="211">
        <f t="shared" si="72"/>
        <v>54.857142857142854</v>
      </c>
      <c r="AL54" s="211">
        <f t="shared" ref="AL54:BQ54" si="73">IF(AL$22&lt;=$E$24,IF(AL$22&lt;=$D$24,IF(AL$22&lt;=$C$24,IF(AL$22&lt;=$B$24,$B120,($C37-$B37)/($C$24-$B$24)),($D37-$C37)/($D$24-$C$24)),($E37-$D37)/($E$24-$D$24)),$F120)</f>
        <v>54.857142857142854</v>
      </c>
      <c r="AM54" s="211">
        <f t="shared" si="73"/>
        <v>54.857142857142854</v>
      </c>
      <c r="AN54" s="211">
        <f t="shared" si="73"/>
        <v>54.857142857142854</v>
      </c>
      <c r="AO54" s="211">
        <f t="shared" si="73"/>
        <v>54.857142857142854</v>
      </c>
      <c r="AP54" s="211">
        <f t="shared" si="73"/>
        <v>54.857142857142854</v>
      </c>
      <c r="AQ54" s="211">
        <f t="shared" si="73"/>
        <v>54.857142857142854</v>
      </c>
      <c r="AR54" s="211">
        <f t="shared" si="73"/>
        <v>54.857142857142854</v>
      </c>
      <c r="AS54" s="211">
        <f t="shared" si="73"/>
        <v>54.857142857142854</v>
      </c>
      <c r="AT54" s="211">
        <f t="shared" si="73"/>
        <v>54.857142857142854</v>
      </c>
      <c r="AU54" s="211">
        <f t="shared" si="73"/>
        <v>54.857142857142854</v>
      </c>
      <c r="AV54" s="211">
        <f t="shared" si="73"/>
        <v>54.857142857142854</v>
      </c>
      <c r="AW54" s="211">
        <f t="shared" si="73"/>
        <v>54.857142857142854</v>
      </c>
      <c r="AX54" s="211">
        <f t="shared" si="73"/>
        <v>54.857142857142854</v>
      </c>
      <c r="AY54" s="211">
        <f t="shared" si="73"/>
        <v>54.857142857142854</v>
      </c>
      <c r="AZ54" s="211">
        <f t="shared" si="73"/>
        <v>54.857142857142854</v>
      </c>
      <c r="BA54" s="211">
        <f t="shared" si="73"/>
        <v>54.857142857142854</v>
      </c>
      <c r="BB54" s="211">
        <f t="shared" si="73"/>
        <v>54.857142857142854</v>
      </c>
      <c r="BC54" s="211">
        <f t="shared" si="73"/>
        <v>54.857142857142854</v>
      </c>
      <c r="BD54" s="211">
        <f t="shared" si="73"/>
        <v>-22.843299999999999</v>
      </c>
      <c r="BE54" s="211">
        <f t="shared" si="73"/>
        <v>-22.843299999999999</v>
      </c>
      <c r="BF54" s="211">
        <f t="shared" si="73"/>
        <v>-22.843299999999999</v>
      </c>
      <c r="BG54" s="211">
        <f t="shared" si="73"/>
        <v>-22.843299999999999</v>
      </c>
      <c r="BH54" s="211">
        <f t="shared" si="73"/>
        <v>-22.843299999999999</v>
      </c>
      <c r="BI54" s="211">
        <f t="shared" si="73"/>
        <v>-22.843299999999999</v>
      </c>
      <c r="BJ54" s="211">
        <f t="shared" si="73"/>
        <v>-22.843299999999999</v>
      </c>
      <c r="BK54" s="211">
        <f t="shared" si="73"/>
        <v>-22.843299999999999</v>
      </c>
      <c r="BL54" s="211">
        <f t="shared" si="73"/>
        <v>-22.843299999999999</v>
      </c>
      <c r="BM54" s="211">
        <f t="shared" si="73"/>
        <v>-22.843299999999999</v>
      </c>
      <c r="BN54" s="211">
        <f t="shared" si="73"/>
        <v>-22.843299999999999</v>
      </c>
      <c r="BO54" s="211">
        <f t="shared" si="73"/>
        <v>-22.843299999999999</v>
      </c>
      <c r="BP54" s="211">
        <f t="shared" si="73"/>
        <v>-22.843299999999999</v>
      </c>
      <c r="BQ54" s="211">
        <f t="shared" si="73"/>
        <v>-22.843299999999999</v>
      </c>
      <c r="BR54" s="211">
        <f t="shared" ref="BR54:DA54" si="74">IF(BR$22&lt;=$E$24,IF(BR$22&lt;=$D$24,IF(BR$22&lt;=$C$24,IF(BR$22&lt;=$B$24,$B120,($C37-$B37)/($C$24-$B$24)),($D37-$C37)/($D$24-$C$24)),($E37-$D37)/($E$24-$D$24)),$F120)</f>
        <v>-22.843299999999999</v>
      </c>
      <c r="BS54" s="211">
        <f t="shared" si="74"/>
        <v>-22.843299999999999</v>
      </c>
      <c r="BT54" s="211">
        <f t="shared" si="74"/>
        <v>-22.843299999999999</v>
      </c>
      <c r="BU54" s="211">
        <f t="shared" si="74"/>
        <v>-22.843299999999999</v>
      </c>
      <c r="BV54" s="211">
        <f t="shared" si="74"/>
        <v>-22.843299999999999</v>
      </c>
      <c r="BW54" s="211">
        <f t="shared" si="74"/>
        <v>-22.843299999999999</v>
      </c>
      <c r="BX54" s="211">
        <f t="shared" si="74"/>
        <v>-22.843299999999999</v>
      </c>
      <c r="BY54" s="211">
        <f t="shared" si="74"/>
        <v>-22.843299999999999</v>
      </c>
      <c r="BZ54" s="211">
        <f t="shared" si="74"/>
        <v>-22.843299999999999</v>
      </c>
      <c r="CA54" s="211">
        <f t="shared" si="74"/>
        <v>-22.843299999999999</v>
      </c>
      <c r="CB54" s="211">
        <f t="shared" si="74"/>
        <v>-22.843299999999999</v>
      </c>
      <c r="CC54" s="211">
        <f t="shared" si="74"/>
        <v>-22.843299999999999</v>
      </c>
      <c r="CD54" s="211">
        <f t="shared" si="74"/>
        <v>-22.843299999999999</v>
      </c>
      <c r="CE54" s="211">
        <f t="shared" si="74"/>
        <v>-22.843299999999999</v>
      </c>
      <c r="CF54" s="211">
        <f t="shared" si="74"/>
        <v>-22.843299999999999</v>
      </c>
      <c r="CG54" s="211">
        <f t="shared" si="74"/>
        <v>-22.843299999999999</v>
      </c>
      <c r="CH54" s="211">
        <f t="shared" si="74"/>
        <v>-22.843299999999999</v>
      </c>
      <c r="CI54" s="211">
        <f t="shared" si="74"/>
        <v>-22.843299999999999</v>
      </c>
      <c r="CJ54" s="211">
        <f t="shared" si="74"/>
        <v>-22.843299999999999</v>
      </c>
      <c r="CK54" s="211">
        <f t="shared" si="74"/>
        <v>-22.843299999999999</v>
      </c>
      <c r="CL54" s="211">
        <f t="shared" si="74"/>
        <v>-22.843299999999999</v>
      </c>
      <c r="CM54" s="211">
        <f t="shared" si="74"/>
        <v>-22.843299999999999</v>
      </c>
      <c r="CN54" s="211">
        <f t="shared" si="74"/>
        <v>-22.843299999999999</v>
      </c>
      <c r="CO54" s="211">
        <f t="shared" si="74"/>
        <v>-22.843299999999999</v>
      </c>
      <c r="CP54" s="211">
        <f t="shared" si="74"/>
        <v>-22.843299999999999</v>
      </c>
      <c r="CQ54" s="211">
        <f t="shared" si="74"/>
        <v>-22.843299999999999</v>
      </c>
      <c r="CR54" s="211">
        <f t="shared" si="74"/>
        <v>-22.843299999999999</v>
      </c>
      <c r="CS54" s="211">
        <f t="shared" si="74"/>
        <v>-22.843299999999999</v>
      </c>
      <c r="CT54" s="211">
        <f t="shared" si="74"/>
        <v>-22.843299999999999</v>
      </c>
      <c r="CU54" s="211">
        <f t="shared" si="74"/>
        <v>-22.843299999999999</v>
      </c>
      <c r="CV54" s="211">
        <f t="shared" si="74"/>
        <v>-22.843299999999999</v>
      </c>
      <c r="CW54" s="211">
        <f t="shared" si="74"/>
        <v>-22.843299999999999</v>
      </c>
      <c r="CX54" s="211">
        <f t="shared" si="74"/>
        <v>-22.843299999999999</v>
      </c>
      <c r="CY54" s="211">
        <f t="shared" si="74"/>
        <v>-22.843299999999999</v>
      </c>
      <c r="CZ54" s="211">
        <f t="shared" si="74"/>
        <v>-22.843299999999999</v>
      </c>
      <c r="DA54" s="211">
        <f t="shared" si="74"/>
        <v>-22.843299999999999</v>
      </c>
    </row>
    <row r="55" spans="1:105">
      <c r="A55" s="202" t="str">
        <f>Income!A88</f>
        <v>TOTAL</v>
      </c>
    </row>
    <row r="56" spans="1:105">
      <c r="A56" s="202" t="str">
        <f>Income!A89</f>
        <v>Food Poverty line</v>
      </c>
    </row>
    <row r="57" spans="1:105">
      <c r="A57" s="202" t="str">
        <f>Income!A90</f>
        <v>Lower Bound Poverty line</v>
      </c>
    </row>
    <row r="59" spans="1:105" s="205" customFormat="1">
      <c r="A59" s="205" t="str">
        <f>Income!A72</f>
        <v>Own crops Consumed</v>
      </c>
      <c r="F59" s="205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1487.0145045438785</v>
      </c>
      <c r="G59" s="205">
        <f t="shared" si="75"/>
        <v>1487.0145045438785</v>
      </c>
      <c r="H59" s="205">
        <f t="shared" si="75"/>
        <v>1487.0145045438785</v>
      </c>
      <c r="I59" s="205">
        <f t="shared" si="75"/>
        <v>1487.0145045438785</v>
      </c>
      <c r="J59" s="205">
        <f t="shared" si="75"/>
        <v>1487.0145045438785</v>
      </c>
      <c r="K59" s="205">
        <f t="shared" si="75"/>
        <v>1487.0145045438785</v>
      </c>
      <c r="L59" s="205">
        <f t="shared" si="75"/>
        <v>1487.0145045438785</v>
      </c>
      <c r="M59" s="205">
        <f t="shared" si="75"/>
        <v>1487.0145045438785</v>
      </c>
      <c r="N59" s="205">
        <f t="shared" si="75"/>
        <v>1487.0145045438785</v>
      </c>
      <c r="O59" s="205">
        <f t="shared" si="75"/>
        <v>1487.0145045438785</v>
      </c>
      <c r="P59" s="205">
        <f t="shared" si="75"/>
        <v>1487.0145045438785</v>
      </c>
      <c r="Q59" s="205">
        <f t="shared" si="75"/>
        <v>1487.0145045438785</v>
      </c>
      <c r="R59" s="205">
        <f t="shared" si="75"/>
        <v>1487.0145045438785</v>
      </c>
      <c r="S59" s="205">
        <f t="shared" si="75"/>
        <v>1487.0145045438785</v>
      </c>
      <c r="T59" s="205">
        <f t="shared" si="75"/>
        <v>1487.0145045438785</v>
      </c>
      <c r="U59" s="205">
        <f t="shared" si="75"/>
        <v>1487.0145045438785</v>
      </c>
      <c r="V59" s="205">
        <f t="shared" si="75"/>
        <v>1487.0145045438785</v>
      </c>
      <c r="W59" s="205">
        <f t="shared" si="75"/>
        <v>1487.0145045438785</v>
      </c>
      <c r="X59" s="205">
        <f t="shared" si="75"/>
        <v>1487.0145045438785</v>
      </c>
      <c r="Y59" s="205">
        <f t="shared" si="75"/>
        <v>1487.0145045438785</v>
      </c>
      <c r="Z59" s="205">
        <f t="shared" si="75"/>
        <v>1487.0145045438785</v>
      </c>
      <c r="AA59" s="205">
        <f t="shared" si="75"/>
        <v>1487.0145045438785</v>
      </c>
      <c r="AB59" s="205">
        <f t="shared" si="75"/>
        <v>1487.0145045438785</v>
      </c>
      <c r="AC59" s="205">
        <f t="shared" si="75"/>
        <v>1487.0145045438785</v>
      </c>
      <c r="AD59" s="205">
        <f t="shared" si="75"/>
        <v>1487.0145045438785</v>
      </c>
      <c r="AE59" s="205">
        <f t="shared" si="75"/>
        <v>1503.7532969669251</v>
      </c>
      <c r="AF59" s="205">
        <f t="shared" si="75"/>
        <v>1537.2308818130182</v>
      </c>
      <c r="AG59" s="205">
        <f t="shared" si="75"/>
        <v>1570.7084666591113</v>
      </c>
      <c r="AH59" s="205">
        <f t="shared" si="75"/>
        <v>1604.1860515052044</v>
      </c>
      <c r="AI59" s="205">
        <f t="shared" si="75"/>
        <v>1637.6636363512976</v>
      </c>
      <c r="AJ59" s="205">
        <f t="shared" si="75"/>
        <v>1671.1412211973907</v>
      </c>
      <c r="AK59" s="205">
        <f t="shared" si="75"/>
        <v>1704.618806043484</v>
      </c>
      <c r="AL59" s="205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1738.0963908895772</v>
      </c>
      <c r="AM59" s="205">
        <f t="shared" si="76"/>
        <v>1771.5739757356703</v>
      </c>
      <c r="AN59" s="205">
        <f t="shared" si="76"/>
        <v>1805.0515605817634</v>
      </c>
      <c r="AO59" s="205">
        <f t="shared" si="76"/>
        <v>1838.5291454278565</v>
      </c>
      <c r="AP59" s="205">
        <f t="shared" si="76"/>
        <v>1872.0067302739496</v>
      </c>
      <c r="AQ59" s="205">
        <f t="shared" si="76"/>
        <v>1905.4843151200428</v>
      </c>
      <c r="AR59" s="205">
        <f t="shared" si="76"/>
        <v>1938.9618999661359</v>
      </c>
      <c r="AS59" s="205">
        <f t="shared" si="76"/>
        <v>1972.439484812229</v>
      </c>
      <c r="AT59" s="205">
        <f t="shared" si="76"/>
        <v>2005.9170696583224</v>
      </c>
      <c r="AU59" s="205">
        <f t="shared" si="76"/>
        <v>2039.3946545044155</v>
      </c>
      <c r="AV59" s="205">
        <f t="shared" si="76"/>
        <v>2072.8722393505086</v>
      </c>
      <c r="AW59" s="205">
        <f t="shared" si="76"/>
        <v>2106.3498241966017</v>
      </c>
      <c r="AX59" s="205">
        <f t="shared" si="76"/>
        <v>2139.8274090426949</v>
      </c>
      <c r="AY59" s="205">
        <f t="shared" si="76"/>
        <v>2173.304993888788</v>
      </c>
      <c r="AZ59" s="205">
        <f t="shared" si="76"/>
        <v>2206.7825787348811</v>
      </c>
      <c r="BA59" s="205">
        <f t="shared" si="76"/>
        <v>2240.2601635809742</v>
      </c>
      <c r="BB59" s="205">
        <f t="shared" si="76"/>
        <v>2273.7377484270673</v>
      </c>
      <c r="BC59" s="205">
        <f t="shared" si="76"/>
        <v>2307.2153332731605</v>
      </c>
      <c r="BD59" s="205">
        <f t="shared" si="76"/>
        <v>3463.6474009197027</v>
      </c>
      <c r="BE59" s="205">
        <f t="shared" si="76"/>
        <v>3468.4460009197028</v>
      </c>
      <c r="BF59" s="205">
        <f t="shared" si="76"/>
        <v>3473.2446009197029</v>
      </c>
      <c r="BG59" s="205">
        <f t="shared" si="76"/>
        <v>3478.0432009197029</v>
      </c>
      <c r="BH59" s="205">
        <f t="shared" si="76"/>
        <v>3482.8418009197026</v>
      </c>
      <c r="BI59" s="205">
        <f t="shared" si="76"/>
        <v>3487.6404009197026</v>
      </c>
      <c r="BJ59" s="205">
        <f t="shared" si="76"/>
        <v>3492.4390009197027</v>
      </c>
      <c r="BK59" s="205">
        <f t="shared" si="76"/>
        <v>3497.2376009197028</v>
      </c>
      <c r="BL59" s="205">
        <f t="shared" si="76"/>
        <v>3502.0362009197029</v>
      </c>
      <c r="BM59" s="205">
        <f t="shared" si="76"/>
        <v>3506.834800919703</v>
      </c>
      <c r="BN59" s="205">
        <f t="shared" si="76"/>
        <v>3511.633400919703</v>
      </c>
      <c r="BO59" s="205">
        <f t="shared" si="76"/>
        <v>3516.4320009197027</v>
      </c>
      <c r="BP59" s="205">
        <f t="shared" si="76"/>
        <v>3521.2306009197027</v>
      </c>
      <c r="BQ59" s="205">
        <f t="shared" si="76"/>
        <v>3526.0292009197028</v>
      </c>
      <c r="BR59" s="205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3530.8278009197029</v>
      </c>
      <c r="BS59" s="205">
        <f t="shared" si="77"/>
        <v>3535.626400919703</v>
      </c>
      <c r="BT59" s="205">
        <f t="shared" si="77"/>
        <v>3540.4250009197031</v>
      </c>
      <c r="BU59" s="205">
        <f t="shared" si="77"/>
        <v>3545.2236009197031</v>
      </c>
      <c r="BV59" s="205">
        <f t="shared" si="77"/>
        <v>3550.0222009197032</v>
      </c>
      <c r="BW59" s="205">
        <f t="shared" si="77"/>
        <v>3554.8208009197033</v>
      </c>
      <c r="BX59" s="205">
        <f t="shared" si="77"/>
        <v>3559.6194009197029</v>
      </c>
      <c r="BY59" s="205">
        <f t="shared" si="77"/>
        <v>3564.418000919703</v>
      </c>
      <c r="BZ59" s="205">
        <f t="shared" si="77"/>
        <v>3569.2166009197031</v>
      </c>
      <c r="CA59" s="205">
        <f t="shared" si="77"/>
        <v>3574.0152009197031</v>
      </c>
      <c r="CB59" s="205">
        <f t="shared" si="77"/>
        <v>3578.8138009197032</v>
      </c>
      <c r="CC59" s="205">
        <f t="shared" si="77"/>
        <v>3583.6124009197033</v>
      </c>
      <c r="CD59" s="205">
        <f t="shared" si="77"/>
        <v>3588.4110009197034</v>
      </c>
      <c r="CE59" s="205">
        <f t="shared" si="77"/>
        <v>3593.209600919703</v>
      </c>
      <c r="CF59" s="205">
        <f t="shared" si="77"/>
        <v>3598.0082009197031</v>
      </c>
      <c r="CG59" s="205">
        <f t="shared" si="77"/>
        <v>3602.8068009197032</v>
      </c>
      <c r="CH59" s="205">
        <f t="shared" si="77"/>
        <v>3607.6054009197032</v>
      </c>
      <c r="CI59" s="205">
        <f t="shared" si="77"/>
        <v>3612.4040009197033</v>
      </c>
      <c r="CJ59" s="205">
        <f t="shared" si="77"/>
        <v>3617.2026009197034</v>
      </c>
      <c r="CK59" s="205">
        <f t="shared" si="77"/>
        <v>3622.0012009197035</v>
      </c>
      <c r="CL59" s="205">
        <f t="shared" si="77"/>
        <v>3626.7998009197036</v>
      </c>
      <c r="CM59" s="205">
        <f t="shared" si="77"/>
        <v>3631.5984009197036</v>
      </c>
      <c r="CN59" s="205">
        <f t="shared" si="77"/>
        <v>3636.3970009197033</v>
      </c>
      <c r="CO59" s="205">
        <f t="shared" si="77"/>
        <v>3641.1956009197033</v>
      </c>
      <c r="CP59" s="205">
        <f t="shared" si="77"/>
        <v>3645.9942009197034</v>
      </c>
      <c r="CQ59" s="205">
        <f t="shared" si="77"/>
        <v>3650.7928009197035</v>
      </c>
      <c r="CR59" s="205">
        <f t="shared" si="77"/>
        <v>3655.5914009197036</v>
      </c>
      <c r="CS59" s="205">
        <f t="shared" si="77"/>
        <v>3660.3900009197037</v>
      </c>
      <c r="CT59" s="205">
        <f t="shared" si="77"/>
        <v>3665.1886009197037</v>
      </c>
      <c r="CU59" s="205">
        <f t="shared" si="77"/>
        <v>3669.9872009197034</v>
      </c>
      <c r="CV59" s="205">
        <f t="shared" si="77"/>
        <v>3674.7858009197034</v>
      </c>
      <c r="CW59" s="205">
        <f t="shared" si="77"/>
        <v>3679.5844009197035</v>
      </c>
      <c r="CX59" s="205">
        <f t="shared" si="77"/>
        <v>3684.3830009197036</v>
      </c>
      <c r="CY59" s="205">
        <f t="shared" si="77"/>
        <v>3689.1816009197037</v>
      </c>
      <c r="CZ59" s="205">
        <f t="shared" si="77"/>
        <v>3693.9802009197037</v>
      </c>
      <c r="DA59" s="205">
        <f t="shared" si="77"/>
        <v>3698.7788009197038</v>
      </c>
    </row>
    <row r="60" spans="1:105" s="205" customFormat="1">
      <c r="A60" s="205" t="str">
        <f>Income!A73</f>
        <v>Own crops sold</v>
      </c>
      <c r="F60" s="205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0</v>
      </c>
      <c r="G60" s="205">
        <f t="shared" si="78"/>
        <v>0</v>
      </c>
      <c r="H60" s="205">
        <f t="shared" si="78"/>
        <v>0</v>
      </c>
      <c r="I60" s="205">
        <f t="shared" si="78"/>
        <v>0</v>
      </c>
      <c r="J60" s="205">
        <f t="shared" si="78"/>
        <v>0</v>
      </c>
      <c r="K60" s="205">
        <f t="shared" si="78"/>
        <v>0</v>
      </c>
      <c r="L60" s="205">
        <f t="shared" si="78"/>
        <v>0</v>
      </c>
      <c r="M60" s="205">
        <f t="shared" si="78"/>
        <v>0</v>
      </c>
      <c r="N60" s="205">
        <f t="shared" si="78"/>
        <v>0</v>
      </c>
      <c r="O60" s="205">
        <f t="shared" si="78"/>
        <v>0</v>
      </c>
      <c r="P60" s="205">
        <f t="shared" si="78"/>
        <v>0</v>
      </c>
      <c r="Q60" s="205">
        <f t="shared" si="78"/>
        <v>0</v>
      </c>
      <c r="R60" s="205">
        <f t="shared" si="78"/>
        <v>0</v>
      </c>
      <c r="S60" s="205">
        <f t="shared" si="78"/>
        <v>0</v>
      </c>
      <c r="T60" s="205">
        <f t="shared" si="78"/>
        <v>0</v>
      </c>
      <c r="U60" s="205">
        <f t="shared" si="78"/>
        <v>0</v>
      </c>
      <c r="V60" s="205">
        <f t="shared" si="78"/>
        <v>0</v>
      </c>
      <c r="W60" s="205">
        <f t="shared" si="78"/>
        <v>0</v>
      </c>
      <c r="X60" s="205">
        <f t="shared" si="78"/>
        <v>0</v>
      </c>
      <c r="Y60" s="205">
        <f t="shared" si="78"/>
        <v>0</v>
      </c>
      <c r="Z60" s="205">
        <f t="shared" si="78"/>
        <v>0</v>
      </c>
      <c r="AA60" s="205">
        <f t="shared" si="78"/>
        <v>0</v>
      </c>
      <c r="AB60" s="205">
        <f t="shared" si="78"/>
        <v>0</v>
      </c>
      <c r="AC60" s="205">
        <f t="shared" si="78"/>
        <v>0</v>
      </c>
      <c r="AD60" s="205">
        <f t="shared" si="78"/>
        <v>0</v>
      </c>
      <c r="AE60" s="205">
        <f t="shared" si="78"/>
        <v>0</v>
      </c>
      <c r="AF60" s="205">
        <f t="shared" si="78"/>
        <v>0</v>
      </c>
      <c r="AG60" s="205">
        <f t="shared" si="78"/>
        <v>0</v>
      </c>
      <c r="AH60" s="205">
        <f t="shared" si="78"/>
        <v>0</v>
      </c>
      <c r="AI60" s="205">
        <f t="shared" si="78"/>
        <v>0</v>
      </c>
      <c r="AJ60" s="205">
        <f t="shared" si="78"/>
        <v>0</v>
      </c>
      <c r="AK60" s="205">
        <f t="shared" si="78"/>
        <v>0</v>
      </c>
      <c r="AL60" s="205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0</v>
      </c>
      <c r="AM60" s="205">
        <f t="shared" si="79"/>
        <v>0</v>
      </c>
      <c r="AN60" s="205">
        <f t="shared" si="79"/>
        <v>0</v>
      </c>
      <c r="AO60" s="205">
        <f t="shared" si="79"/>
        <v>0</v>
      </c>
      <c r="AP60" s="205">
        <f t="shared" si="79"/>
        <v>0</v>
      </c>
      <c r="AQ60" s="205">
        <f t="shared" si="79"/>
        <v>0</v>
      </c>
      <c r="AR60" s="205">
        <f t="shared" si="79"/>
        <v>0</v>
      </c>
      <c r="AS60" s="205">
        <f t="shared" si="79"/>
        <v>0</v>
      </c>
      <c r="AT60" s="205">
        <f t="shared" si="79"/>
        <v>0</v>
      </c>
      <c r="AU60" s="205">
        <f t="shared" si="79"/>
        <v>0</v>
      </c>
      <c r="AV60" s="205">
        <f t="shared" si="79"/>
        <v>0</v>
      </c>
      <c r="AW60" s="205">
        <f t="shared" si="79"/>
        <v>0</v>
      </c>
      <c r="AX60" s="205">
        <f t="shared" si="79"/>
        <v>0</v>
      </c>
      <c r="AY60" s="205">
        <f t="shared" si="79"/>
        <v>0</v>
      </c>
      <c r="AZ60" s="205">
        <f t="shared" si="79"/>
        <v>0</v>
      </c>
      <c r="BA60" s="205">
        <f t="shared" si="79"/>
        <v>0</v>
      </c>
      <c r="BB60" s="205">
        <f t="shared" si="79"/>
        <v>0</v>
      </c>
      <c r="BC60" s="205">
        <f t="shared" si="79"/>
        <v>0</v>
      </c>
      <c r="BD60" s="205">
        <f t="shared" si="79"/>
        <v>18312.288900000003</v>
      </c>
      <c r="BE60" s="205">
        <f t="shared" si="79"/>
        <v>18278.977800000001</v>
      </c>
      <c r="BF60" s="205">
        <f t="shared" si="79"/>
        <v>18245.666700000002</v>
      </c>
      <c r="BG60" s="205">
        <f t="shared" si="79"/>
        <v>18212.355600000003</v>
      </c>
      <c r="BH60" s="205">
        <f t="shared" si="79"/>
        <v>18179.044500000004</v>
      </c>
      <c r="BI60" s="205">
        <f t="shared" si="79"/>
        <v>18145.733400000001</v>
      </c>
      <c r="BJ60" s="205">
        <f t="shared" si="79"/>
        <v>18112.422300000002</v>
      </c>
      <c r="BK60" s="205">
        <f t="shared" si="79"/>
        <v>18079.111200000003</v>
      </c>
      <c r="BL60" s="205">
        <f t="shared" si="79"/>
        <v>18045.8001</v>
      </c>
      <c r="BM60" s="205">
        <f t="shared" si="79"/>
        <v>18012.489000000001</v>
      </c>
      <c r="BN60" s="205">
        <f t="shared" si="79"/>
        <v>17979.177900000002</v>
      </c>
      <c r="BO60" s="205">
        <f t="shared" si="79"/>
        <v>17945.866800000003</v>
      </c>
      <c r="BP60" s="205">
        <f t="shared" si="79"/>
        <v>17912.555700000001</v>
      </c>
      <c r="BQ60" s="205">
        <f t="shared" si="79"/>
        <v>17879.244600000002</v>
      </c>
      <c r="BR60" s="205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17845.933500000003</v>
      </c>
      <c r="BS60" s="205">
        <f t="shared" si="80"/>
        <v>17812.6224</v>
      </c>
      <c r="BT60" s="205">
        <f t="shared" si="80"/>
        <v>17779.311300000001</v>
      </c>
      <c r="BU60" s="205">
        <f t="shared" si="80"/>
        <v>17746.000200000002</v>
      </c>
      <c r="BV60" s="205">
        <f t="shared" si="80"/>
        <v>17712.689100000003</v>
      </c>
      <c r="BW60" s="205">
        <f t="shared" si="80"/>
        <v>17679.378000000001</v>
      </c>
      <c r="BX60" s="205">
        <f t="shared" si="80"/>
        <v>17646.066900000002</v>
      </c>
      <c r="BY60" s="205">
        <f t="shared" si="80"/>
        <v>17612.755800000003</v>
      </c>
      <c r="BZ60" s="205">
        <f t="shared" si="80"/>
        <v>17579.444700000004</v>
      </c>
      <c r="CA60" s="205">
        <f t="shared" si="80"/>
        <v>17546.133600000001</v>
      </c>
      <c r="CB60" s="205">
        <f t="shared" si="80"/>
        <v>17512.822500000002</v>
      </c>
      <c r="CC60" s="205">
        <f t="shared" si="80"/>
        <v>17479.511400000003</v>
      </c>
      <c r="CD60" s="205">
        <f t="shared" si="80"/>
        <v>17446.2003</v>
      </c>
      <c r="CE60" s="205">
        <f t="shared" si="80"/>
        <v>17412.889200000001</v>
      </c>
      <c r="CF60" s="205">
        <f t="shared" si="80"/>
        <v>17379.578100000002</v>
      </c>
      <c r="CG60" s="205">
        <f t="shared" si="80"/>
        <v>17346.267000000003</v>
      </c>
      <c r="CH60" s="205">
        <f t="shared" si="80"/>
        <v>17312.955900000001</v>
      </c>
      <c r="CI60" s="205">
        <f t="shared" si="80"/>
        <v>17279.644800000002</v>
      </c>
      <c r="CJ60" s="205">
        <f t="shared" si="80"/>
        <v>17246.333700000003</v>
      </c>
      <c r="CK60" s="205">
        <f t="shared" si="80"/>
        <v>17213.0226</v>
      </c>
      <c r="CL60" s="205">
        <f t="shared" si="80"/>
        <v>17179.711500000001</v>
      </c>
      <c r="CM60" s="205">
        <f t="shared" si="80"/>
        <v>17146.400400000002</v>
      </c>
      <c r="CN60" s="205">
        <f t="shared" si="80"/>
        <v>17113.089300000003</v>
      </c>
      <c r="CO60" s="205">
        <f t="shared" si="80"/>
        <v>17079.778200000001</v>
      </c>
      <c r="CP60" s="205">
        <f t="shared" si="80"/>
        <v>17046.467100000002</v>
      </c>
      <c r="CQ60" s="205">
        <f t="shared" si="80"/>
        <v>17013.156000000003</v>
      </c>
      <c r="CR60" s="205">
        <f t="shared" si="80"/>
        <v>16979.844900000004</v>
      </c>
      <c r="CS60" s="205">
        <f t="shared" si="80"/>
        <v>16946.533800000001</v>
      </c>
      <c r="CT60" s="205">
        <f t="shared" si="80"/>
        <v>16913.222700000002</v>
      </c>
      <c r="CU60" s="205">
        <f t="shared" si="80"/>
        <v>16879.911600000003</v>
      </c>
      <c r="CV60" s="205">
        <f t="shared" si="80"/>
        <v>16846.6005</v>
      </c>
      <c r="CW60" s="205">
        <f t="shared" si="80"/>
        <v>16813.289400000001</v>
      </c>
      <c r="CX60" s="205">
        <f t="shared" si="80"/>
        <v>16779.978300000002</v>
      </c>
      <c r="CY60" s="205">
        <f t="shared" si="80"/>
        <v>16746.667200000004</v>
      </c>
      <c r="CZ60" s="205">
        <f t="shared" si="80"/>
        <v>16713.356100000001</v>
      </c>
      <c r="DA60" s="205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16680.045000000002</v>
      </c>
    </row>
    <row r="61" spans="1:105" s="205" customFormat="1">
      <c r="A61" s="205" t="str">
        <f>Income!A74</f>
        <v>Animal products consumed</v>
      </c>
      <c r="F61" s="205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0</v>
      </c>
      <c r="G61" s="205">
        <f t="shared" si="81"/>
        <v>0</v>
      </c>
      <c r="H61" s="205">
        <f t="shared" si="81"/>
        <v>0</v>
      </c>
      <c r="I61" s="205">
        <f t="shared" si="81"/>
        <v>0</v>
      </c>
      <c r="J61" s="205">
        <f t="shared" si="81"/>
        <v>0</v>
      </c>
      <c r="K61" s="205">
        <f t="shared" si="81"/>
        <v>0</v>
      </c>
      <c r="L61" s="205">
        <f t="shared" si="81"/>
        <v>0</v>
      </c>
      <c r="M61" s="205">
        <f t="shared" si="81"/>
        <v>0</v>
      </c>
      <c r="N61" s="205">
        <f t="shared" si="81"/>
        <v>0</v>
      </c>
      <c r="O61" s="205">
        <f t="shared" si="81"/>
        <v>0</v>
      </c>
      <c r="P61" s="205">
        <f t="shared" si="81"/>
        <v>0</v>
      </c>
      <c r="Q61" s="205">
        <f t="shared" si="81"/>
        <v>0</v>
      </c>
      <c r="R61" s="205">
        <f t="shared" si="81"/>
        <v>0</v>
      </c>
      <c r="S61" s="205">
        <f t="shared" si="81"/>
        <v>0</v>
      </c>
      <c r="T61" s="205">
        <f t="shared" si="81"/>
        <v>0</v>
      </c>
      <c r="U61" s="205">
        <f t="shared" si="81"/>
        <v>0</v>
      </c>
      <c r="V61" s="205">
        <f t="shared" si="81"/>
        <v>0</v>
      </c>
      <c r="W61" s="205">
        <f t="shared" si="81"/>
        <v>0</v>
      </c>
      <c r="X61" s="205">
        <f t="shared" si="81"/>
        <v>0</v>
      </c>
      <c r="Y61" s="205">
        <f t="shared" si="81"/>
        <v>0</v>
      </c>
      <c r="Z61" s="205">
        <f t="shared" si="81"/>
        <v>0</v>
      </c>
      <c r="AA61" s="205">
        <f t="shared" si="81"/>
        <v>0</v>
      </c>
      <c r="AB61" s="205">
        <f t="shared" si="81"/>
        <v>0</v>
      </c>
      <c r="AC61" s="205">
        <f t="shared" si="81"/>
        <v>0</v>
      </c>
      <c r="AD61" s="205">
        <f t="shared" si="81"/>
        <v>0</v>
      </c>
      <c r="AE61" s="205">
        <f t="shared" si="81"/>
        <v>0.46126760324420207</v>
      </c>
      <c r="AF61" s="205">
        <f t="shared" si="81"/>
        <v>1.3838028097326063</v>
      </c>
      <c r="AG61" s="205">
        <f t="shared" si="81"/>
        <v>2.3063380162210105</v>
      </c>
      <c r="AH61" s="205">
        <f t="shared" si="81"/>
        <v>3.2288732227094146</v>
      </c>
      <c r="AI61" s="205">
        <f t="shared" si="81"/>
        <v>4.1514084291978186</v>
      </c>
      <c r="AJ61" s="205">
        <f t="shared" si="81"/>
        <v>5.0739436356862226</v>
      </c>
      <c r="AK61" s="205">
        <f t="shared" si="81"/>
        <v>5.9964788421746267</v>
      </c>
      <c r="AL61" s="205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6.9190140486630307</v>
      </c>
      <c r="AM61" s="205">
        <f t="shared" si="82"/>
        <v>7.8415492551514356</v>
      </c>
      <c r="AN61" s="205">
        <f t="shared" si="82"/>
        <v>8.7640844616398397</v>
      </c>
      <c r="AO61" s="205">
        <f t="shared" si="82"/>
        <v>9.6866196681282428</v>
      </c>
      <c r="AP61" s="205">
        <f t="shared" si="82"/>
        <v>10.609154874616648</v>
      </c>
      <c r="AQ61" s="205">
        <f t="shared" si="82"/>
        <v>11.531690081105053</v>
      </c>
      <c r="AR61" s="205">
        <f t="shared" si="82"/>
        <v>12.454225287593456</v>
      </c>
      <c r="AS61" s="205">
        <f t="shared" si="82"/>
        <v>13.376760494081861</v>
      </c>
      <c r="AT61" s="205">
        <f t="shared" si="82"/>
        <v>14.299295700570264</v>
      </c>
      <c r="AU61" s="205">
        <f t="shared" si="82"/>
        <v>15.221830907058669</v>
      </c>
      <c r="AV61" s="205">
        <f t="shared" si="82"/>
        <v>16.144366113547072</v>
      </c>
      <c r="AW61" s="205">
        <f t="shared" si="82"/>
        <v>17.066901320035477</v>
      </c>
      <c r="AX61" s="205">
        <f t="shared" si="82"/>
        <v>17.989436526523882</v>
      </c>
      <c r="AY61" s="205">
        <f t="shared" si="82"/>
        <v>18.911971733012287</v>
      </c>
      <c r="AZ61" s="205">
        <f t="shared" si="82"/>
        <v>19.834506939500688</v>
      </c>
      <c r="BA61" s="205">
        <f t="shared" si="82"/>
        <v>20.757042145989093</v>
      </c>
      <c r="BB61" s="205">
        <f t="shared" si="82"/>
        <v>21.679577352477498</v>
      </c>
      <c r="BC61" s="205">
        <f t="shared" si="82"/>
        <v>22.602112558965903</v>
      </c>
      <c r="BD61" s="205">
        <f t="shared" si="82"/>
        <v>1539.1576248062977</v>
      </c>
      <c r="BE61" s="205">
        <f t="shared" si="82"/>
        <v>1547.9558248062976</v>
      </c>
      <c r="BF61" s="205">
        <f t="shared" si="82"/>
        <v>1556.7540248062978</v>
      </c>
      <c r="BG61" s="205">
        <f t="shared" si="82"/>
        <v>1565.5522248062978</v>
      </c>
      <c r="BH61" s="205">
        <f t="shared" si="82"/>
        <v>1574.3504248062977</v>
      </c>
      <c r="BI61" s="205">
        <f t="shared" si="82"/>
        <v>1583.1486248062977</v>
      </c>
      <c r="BJ61" s="205">
        <f t="shared" si="82"/>
        <v>1591.9468248062976</v>
      </c>
      <c r="BK61" s="205">
        <f t="shared" si="82"/>
        <v>1600.7450248062978</v>
      </c>
      <c r="BL61" s="205">
        <f t="shared" si="82"/>
        <v>1609.5432248062978</v>
      </c>
      <c r="BM61" s="205">
        <f t="shared" si="82"/>
        <v>1618.3414248062977</v>
      </c>
      <c r="BN61" s="205">
        <f t="shared" si="82"/>
        <v>1627.1396248062977</v>
      </c>
      <c r="BO61" s="205">
        <f t="shared" si="82"/>
        <v>1635.9378248062976</v>
      </c>
      <c r="BP61" s="205">
        <f t="shared" si="82"/>
        <v>1644.7360248062978</v>
      </c>
      <c r="BQ61" s="205">
        <f t="shared" si="82"/>
        <v>1653.5342248062977</v>
      </c>
      <c r="BR61" s="205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1662.3324248062977</v>
      </c>
      <c r="BS61" s="205">
        <f t="shared" si="83"/>
        <v>1671.1306248062976</v>
      </c>
      <c r="BT61" s="205">
        <f t="shared" si="83"/>
        <v>1679.9288248062976</v>
      </c>
      <c r="BU61" s="205">
        <f t="shared" si="83"/>
        <v>1688.7270248062978</v>
      </c>
      <c r="BV61" s="205">
        <f t="shared" si="83"/>
        <v>1697.5252248062977</v>
      </c>
      <c r="BW61" s="205">
        <f t="shared" si="83"/>
        <v>1706.3234248062977</v>
      </c>
      <c r="BX61" s="205">
        <f t="shared" si="83"/>
        <v>1715.1216248062976</v>
      </c>
      <c r="BY61" s="205">
        <f t="shared" si="83"/>
        <v>1723.9198248062976</v>
      </c>
      <c r="BZ61" s="205">
        <f t="shared" si="83"/>
        <v>1732.7180248062978</v>
      </c>
      <c r="CA61" s="205">
        <f t="shared" si="83"/>
        <v>1741.5162248062977</v>
      </c>
      <c r="CB61" s="205">
        <f t="shared" si="83"/>
        <v>1750.3144248062977</v>
      </c>
      <c r="CC61" s="205">
        <f t="shared" si="83"/>
        <v>1759.1126248062976</v>
      </c>
      <c r="CD61" s="205">
        <f t="shared" si="83"/>
        <v>1767.9108248062976</v>
      </c>
      <c r="CE61" s="205">
        <f t="shared" si="83"/>
        <v>1776.7090248062977</v>
      </c>
      <c r="CF61" s="205">
        <f t="shared" si="83"/>
        <v>1785.5072248062977</v>
      </c>
      <c r="CG61" s="205">
        <f t="shared" si="83"/>
        <v>1794.3054248062977</v>
      </c>
      <c r="CH61" s="205">
        <f t="shared" si="83"/>
        <v>1803.1036248062976</v>
      </c>
      <c r="CI61" s="205">
        <f t="shared" si="83"/>
        <v>1811.9018248062976</v>
      </c>
      <c r="CJ61" s="205">
        <f t="shared" si="83"/>
        <v>1820.7000248062977</v>
      </c>
      <c r="CK61" s="205">
        <f t="shared" si="83"/>
        <v>1829.4982248062977</v>
      </c>
      <c r="CL61" s="205">
        <f t="shared" si="83"/>
        <v>1838.2964248062976</v>
      </c>
      <c r="CM61" s="205">
        <f t="shared" si="83"/>
        <v>1847.0946248062976</v>
      </c>
      <c r="CN61" s="205">
        <f t="shared" si="83"/>
        <v>1855.8928248062975</v>
      </c>
      <c r="CO61" s="205">
        <f t="shared" si="83"/>
        <v>1864.6910248062977</v>
      </c>
      <c r="CP61" s="205">
        <f t="shared" si="83"/>
        <v>1873.4892248062977</v>
      </c>
      <c r="CQ61" s="205">
        <f t="shared" si="83"/>
        <v>1882.2874248062976</v>
      </c>
      <c r="CR61" s="205">
        <f t="shared" si="83"/>
        <v>1891.0856248062976</v>
      </c>
      <c r="CS61" s="205">
        <f t="shared" si="83"/>
        <v>1899.8838248062975</v>
      </c>
      <c r="CT61" s="205">
        <f t="shared" si="83"/>
        <v>1908.6820248062977</v>
      </c>
      <c r="CU61" s="205">
        <f t="shared" si="83"/>
        <v>1917.4802248062977</v>
      </c>
      <c r="CV61" s="205">
        <f t="shared" si="83"/>
        <v>1926.2784248062976</v>
      </c>
      <c r="CW61" s="205">
        <f t="shared" si="83"/>
        <v>1935.0766248062976</v>
      </c>
      <c r="CX61" s="205">
        <f t="shared" si="83"/>
        <v>1943.8748248062975</v>
      </c>
      <c r="CY61" s="205">
        <f t="shared" si="83"/>
        <v>1952.6730248062977</v>
      </c>
      <c r="CZ61" s="205">
        <f t="shared" si="83"/>
        <v>1961.4712248062976</v>
      </c>
      <c r="DA61" s="205">
        <f t="shared" si="83"/>
        <v>1970.2694248062976</v>
      </c>
    </row>
    <row r="62" spans="1:105" s="205" customFormat="1">
      <c r="A62" s="205" t="str">
        <f>Income!A75</f>
        <v>Animal products sold</v>
      </c>
      <c r="F62" s="205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5">
        <f t="shared" si="84"/>
        <v>0</v>
      </c>
      <c r="H62" s="205">
        <f t="shared" si="84"/>
        <v>0</v>
      </c>
      <c r="I62" s="205">
        <f t="shared" si="84"/>
        <v>0</v>
      </c>
      <c r="J62" s="205">
        <f t="shared" si="84"/>
        <v>0</v>
      </c>
      <c r="K62" s="205">
        <f t="shared" si="84"/>
        <v>0</v>
      </c>
      <c r="L62" s="205">
        <f t="shared" si="84"/>
        <v>0</v>
      </c>
      <c r="M62" s="205">
        <f t="shared" si="84"/>
        <v>0</v>
      </c>
      <c r="N62" s="205">
        <f t="shared" si="84"/>
        <v>0</v>
      </c>
      <c r="O62" s="205">
        <f t="shared" si="84"/>
        <v>0</v>
      </c>
      <c r="P62" s="205">
        <f t="shared" si="84"/>
        <v>0</v>
      </c>
      <c r="Q62" s="205">
        <f t="shared" si="84"/>
        <v>0</v>
      </c>
      <c r="R62" s="205">
        <f t="shared" si="84"/>
        <v>0</v>
      </c>
      <c r="S62" s="205">
        <f t="shared" si="84"/>
        <v>0</v>
      </c>
      <c r="T62" s="205">
        <f t="shared" si="84"/>
        <v>0</v>
      </c>
      <c r="U62" s="205">
        <f t="shared" si="84"/>
        <v>0</v>
      </c>
      <c r="V62" s="205">
        <f t="shared" si="84"/>
        <v>0</v>
      </c>
      <c r="W62" s="205">
        <f t="shared" si="84"/>
        <v>0</v>
      </c>
      <c r="X62" s="205">
        <f t="shared" si="84"/>
        <v>0</v>
      </c>
      <c r="Y62" s="205">
        <f t="shared" si="84"/>
        <v>0</v>
      </c>
      <c r="Z62" s="205">
        <f t="shared" si="84"/>
        <v>0</v>
      </c>
      <c r="AA62" s="205">
        <f t="shared" si="84"/>
        <v>0</v>
      </c>
      <c r="AB62" s="205">
        <f t="shared" si="84"/>
        <v>0</v>
      </c>
      <c r="AC62" s="205">
        <f t="shared" si="84"/>
        <v>0</v>
      </c>
      <c r="AD62" s="205">
        <f t="shared" si="84"/>
        <v>0</v>
      </c>
      <c r="AE62" s="205">
        <f t="shared" si="84"/>
        <v>0</v>
      </c>
      <c r="AF62" s="205">
        <f t="shared" si="84"/>
        <v>0</v>
      </c>
      <c r="AG62" s="205">
        <f t="shared" si="84"/>
        <v>0</v>
      </c>
      <c r="AH62" s="205">
        <f t="shared" si="84"/>
        <v>0</v>
      </c>
      <c r="AI62" s="205">
        <f t="shared" si="84"/>
        <v>0</v>
      </c>
      <c r="AJ62" s="205">
        <f t="shared" si="84"/>
        <v>0</v>
      </c>
      <c r="AK62" s="205">
        <f t="shared" si="84"/>
        <v>0</v>
      </c>
      <c r="AL62" s="205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5">
        <f t="shared" si="85"/>
        <v>0</v>
      </c>
      <c r="AN62" s="205">
        <f t="shared" si="85"/>
        <v>0</v>
      </c>
      <c r="AO62" s="205">
        <f t="shared" si="85"/>
        <v>0</v>
      </c>
      <c r="AP62" s="205">
        <f t="shared" si="85"/>
        <v>0</v>
      </c>
      <c r="AQ62" s="205">
        <f t="shared" si="85"/>
        <v>0</v>
      </c>
      <c r="AR62" s="205">
        <f t="shared" si="85"/>
        <v>0</v>
      </c>
      <c r="AS62" s="205">
        <f t="shared" si="85"/>
        <v>0</v>
      </c>
      <c r="AT62" s="205">
        <f t="shared" si="85"/>
        <v>0</v>
      </c>
      <c r="AU62" s="205">
        <f t="shared" si="85"/>
        <v>0</v>
      </c>
      <c r="AV62" s="205">
        <f t="shared" si="85"/>
        <v>0</v>
      </c>
      <c r="AW62" s="205">
        <f t="shared" si="85"/>
        <v>0</v>
      </c>
      <c r="AX62" s="205">
        <f t="shared" si="85"/>
        <v>0</v>
      </c>
      <c r="AY62" s="205">
        <f t="shared" si="85"/>
        <v>0</v>
      </c>
      <c r="AZ62" s="205">
        <f t="shared" si="85"/>
        <v>0</v>
      </c>
      <c r="BA62" s="205">
        <f t="shared" si="85"/>
        <v>0</v>
      </c>
      <c r="BB62" s="205">
        <f t="shared" si="85"/>
        <v>0</v>
      </c>
      <c r="BC62" s="205">
        <f t="shared" si="85"/>
        <v>0</v>
      </c>
      <c r="BD62" s="205">
        <f t="shared" si="85"/>
        <v>0</v>
      </c>
      <c r="BE62" s="205">
        <f t="shared" si="85"/>
        <v>0</v>
      </c>
      <c r="BF62" s="205">
        <f t="shared" si="85"/>
        <v>0</v>
      </c>
      <c r="BG62" s="205">
        <f t="shared" si="85"/>
        <v>0</v>
      </c>
      <c r="BH62" s="205">
        <f t="shared" si="85"/>
        <v>0</v>
      </c>
      <c r="BI62" s="205">
        <f t="shared" si="85"/>
        <v>0</v>
      </c>
      <c r="BJ62" s="205">
        <f t="shared" si="85"/>
        <v>0</v>
      </c>
      <c r="BK62" s="205">
        <f t="shared" si="85"/>
        <v>0</v>
      </c>
      <c r="BL62" s="205">
        <f t="shared" si="85"/>
        <v>0</v>
      </c>
      <c r="BM62" s="205">
        <f t="shared" si="85"/>
        <v>0</v>
      </c>
      <c r="BN62" s="205">
        <f t="shared" si="85"/>
        <v>0</v>
      </c>
      <c r="BO62" s="205">
        <f t="shared" si="85"/>
        <v>0</v>
      </c>
      <c r="BP62" s="205">
        <f t="shared" si="85"/>
        <v>0</v>
      </c>
      <c r="BQ62" s="205">
        <f t="shared" si="85"/>
        <v>0</v>
      </c>
      <c r="BR62" s="205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5">
        <f t="shared" si="86"/>
        <v>0</v>
      </c>
      <c r="BT62" s="205">
        <f t="shared" si="86"/>
        <v>0</v>
      </c>
      <c r="BU62" s="205">
        <f t="shared" si="86"/>
        <v>0</v>
      </c>
      <c r="BV62" s="205">
        <f t="shared" si="86"/>
        <v>0</v>
      </c>
      <c r="BW62" s="205">
        <f t="shared" si="86"/>
        <v>0</v>
      </c>
      <c r="BX62" s="205">
        <f t="shared" si="86"/>
        <v>0</v>
      </c>
      <c r="BY62" s="205">
        <f t="shared" si="86"/>
        <v>0</v>
      </c>
      <c r="BZ62" s="205">
        <f t="shared" si="86"/>
        <v>0</v>
      </c>
      <c r="CA62" s="205">
        <f t="shared" si="86"/>
        <v>0</v>
      </c>
      <c r="CB62" s="205">
        <f t="shared" si="86"/>
        <v>0</v>
      </c>
      <c r="CC62" s="205">
        <f t="shared" si="86"/>
        <v>0</v>
      </c>
      <c r="CD62" s="205">
        <f t="shared" si="86"/>
        <v>0</v>
      </c>
      <c r="CE62" s="205">
        <f t="shared" si="86"/>
        <v>0</v>
      </c>
      <c r="CF62" s="205">
        <f t="shared" si="86"/>
        <v>0</v>
      </c>
      <c r="CG62" s="205">
        <f t="shared" si="86"/>
        <v>0</v>
      </c>
      <c r="CH62" s="205">
        <f t="shared" si="86"/>
        <v>0</v>
      </c>
      <c r="CI62" s="205">
        <f t="shared" si="86"/>
        <v>0</v>
      </c>
      <c r="CJ62" s="205">
        <f t="shared" si="86"/>
        <v>0</v>
      </c>
      <c r="CK62" s="205">
        <f t="shared" si="86"/>
        <v>0</v>
      </c>
      <c r="CL62" s="205">
        <f t="shared" si="86"/>
        <v>0</v>
      </c>
      <c r="CM62" s="205">
        <f t="shared" si="86"/>
        <v>0</v>
      </c>
      <c r="CN62" s="205">
        <f t="shared" si="86"/>
        <v>0</v>
      </c>
      <c r="CO62" s="205">
        <f t="shared" si="86"/>
        <v>0</v>
      </c>
      <c r="CP62" s="205">
        <f t="shared" si="86"/>
        <v>0</v>
      </c>
      <c r="CQ62" s="205">
        <f t="shared" si="86"/>
        <v>0</v>
      </c>
      <c r="CR62" s="205">
        <f t="shared" si="86"/>
        <v>0</v>
      </c>
      <c r="CS62" s="205">
        <f t="shared" si="86"/>
        <v>0</v>
      </c>
      <c r="CT62" s="205">
        <f t="shared" si="86"/>
        <v>0</v>
      </c>
      <c r="CU62" s="205">
        <f t="shared" si="86"/>
        <v>0</v>
      </c>
      <c r="CV62" s="205">
        <f t="shared" si="86"/>
        <v>0</v>
      </c>
      <c r="CW62" s="205">
        <f t="shared" si="86"/>
        <v>0</v>
      </c>
      <c r="CX62" s="205">
        <f t="shared" si="86"/>
        <v>0</v>
      </c>
      <c r="CY62" s="205">
        <f t="shared" si="86"/>
        <v>0</v>
      </c>
      <c r="CZ62" s="205">
        <f t="shared" si="86"/>
        <v>0</v>
      </c>
      <c r="DA62" s="205">
        <f t="shared" si="86"/>
        <v>0</v>
      </c>
    </row>
    <row r="63" spans="1:105" s="205" customFormat="1">
      <c r="A63" s="205" t="str">
        <f>Income!A76</f>
        <v>Animals sold</v>
      </c>
      <c r="F63" s="205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711.20000000000016</v>
      </c>
      <c r="G63" s="205">
        <f t="shared" si="87"/>
        <v>711.20000000000016</v>
      </c>
      <c r="H63" s="205">
        <f t="shared" si="87"/>
        <v>711.20000000000016</v>
      </c>
      <c r="I63" s="205">
        <f t="shared" si="87"/>
        <v>711.20000000000016</v>
      </c>
      <c r="J63" s="205">
        <f t="shared" si="87"/>
        <v>711.20000000000016</v>
      </c>
      <c r="K63" s="205">
        <f t="shared" si="87"/>
        <v>711.20000000000016</v>
      </c>
      <c r="L63" s="205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711.20000000000016</v>
      </c>
      <c r="M63" s="205">
        <f t="shared" si="87"/>
        <v>711.20000000000016</v>
      </c>
      <c r="N63" s="205">
        <f t="shared" si="87"/>
        <v>711.20000000000016</v>
      </c>
      <c r="O63" s="205">
        <f t="shared" si="87"/>
        <v>711.20000000000016</v>
      </c>
      <c r="P63" s="205">
        <f t="shared" si="87"/>
        <v>711.20000000000016</v>
      </c>
      <c r="Q63" s="205">
        <f t="shared" si="87"/>
        <v>711.20000000000016</v>
      </c>
      <c r="R63" s="205">
        <f t="shared" si="87"/>
        <v>711.20000000000016</v>
      </c>
      <c r="S63" s="205">
        <f t="shared" si="87"/>
        <v>711.20000000000016</v>
      </c>
      <c r="T63" s="205">
        <f t="shared" si="87"/>
        <v>711.20000000000016</v>
      </c>
      <c r="U63" s="205">
        <f t="shared" si="87"/>
        <v>711.20000000000016</v>
      </c>
      <c r="V63" s="205">
        <f t="shared" si="87"/>
        <v>711.20000000000016</v>
      </c>
      <c r="W63" s="205">
        <f t="shared" si="87"/>
        <v>711.20000000000016</v>
      </c>
      <c r="X63" s="205">
        <f t="shared" si="87"/>
        <v>711.20000000000016</v>
      </c>
      <c r="Y63" s="205">
        <f t="shared" si="87"/>
        <v>711.20000000000016</v>
      </c>
      <c r="Z63" s="205">
        <f t="shared" si="87"/>
        <v>711.20000000000016</v>
      </c>
      <c r="AA63" s="205">
        <f t="shared" si="87"/>
        <v>711.20000000000016</v>
      </c>
      <c r="AB63" s="205">
        <f t="shared" si="87"/>
        <v>711.20000000000016</v>
      </c>
      <c r="AC63" s="205">
        <f t="shared" si="87"/>
        <v>711.20000000000016</v>
      </c>
      <c r="AD63" s="205">
        <f t="shared" si="87"/>
        <v>711.20000000000016</v>
      </c>
      <c r="AE63" s="205">
        <f t="shared" si="87"/>
        <v>760.6400000000001</v>
      </c>
      <c r="AF63" s="205">
        <f t="shared" si="87"/>
        <v>859.52000000000021</v>
      </c>
      <c r="AG63" s="205">
        <f t="shared" si="87"/>
        <v>958.40000000000009</v>
      </c>
      <c r="AH63" s="205">
        <f t="shared" si="87"/>
        <v>1057.2800000000002</v>
      </c>
      <c r="AI63" s="205">
        <f t="shared" si="87"/>
        <v>1156.1600000000001</v>
      </c>
      <c r="AJ63" s="205">
        <f t="shared" si="87"/>
        <v>1255.04</v>
      </c>
      <c r="AK63" s="205">
        <f t="shared" si="87"/>
        <v>1353.92</v>
      </c>
      <c r="AL63" s="205">
        <f t="shared" si="87"/>
        <v>1452.8000000000002</v>
      </c>
      <c r="AM63" s="205">
        <f t="shared" si="87"/>
        <v>1551.6800000000003</v>
      </c>
      <c r="AN63" s="205">
        <f t="shared" si="87"/>
        <v>1650.56</v>
      </c>
      <c r="AO63" s="205">
        <f t="shared" si="87"/>
        <v>1749.44</v>
      </c>
      <c r="AP63" s="205">
        <f t="shared" si="87"/>
        <v>1848.3200000000002</v>
      </c>
      <c r="AQ63" s="205">
        <f t="shared" si="87"/>
        <v>1947.2000000000003</v>
      </c>
      <c r="AR63" s="205">
        <f t="shared" si="87"/>
        <v>2046.08</v>
      </c>
      <c r="AS63" s="205">
        <f t="shared" si="87"/>
        <v>2144.96</v>
      </c>
      <c r="AT63" s="205">
        <f t="shared" si="87"/>
        <v>2243.84</v>
      </c>
      <c r="AU63" s="205">
        <f t="shared" si="87"/>
        <v>2342.7200000000003</v>
      </c>
      <c r="AV63" s="205">
        <f t="shared" si="87"/>
        <v>2441.6</v>
      </c>
      <c r="AW63" s="205">
        <f t="shared" si="87"/>
        <v>2540.48</v>
      </c>
      <c r="AX63" s="205">
        <f t="shared" si="87"/>
        <v>2639.36</v>
      </c>
      <c r="AY63" s="205">
        <f t="shared" si="87"/>
        <v>2738.2400000000002</v>
      </c>
      <c r="AZ63" s="205">
        <f t="shared" si="87"/>
        <v>2837.1200000000003</v>
      </c>
      <c r="BA63" s="205">
        <f t="shared" si="87"/>
        <v>2936</v>
      </c>
      <c r="BB63" s="205">
        <f t="shared" si="87"/>
        <v>3034.88</v>
      </c>
      <c r="BC63" s="205">
        <f t="shared" si="87"/>
        <v>3133.76</v>
      </c>
      <c r="BD63" s="205">
        <f t="shared" si="87"/>
        <v>24333.120000000003</v>
      </c>
      <c r="BE63" s="205">
        <f t="shared" si="87"/>
        <v>24333.120000000003</v>
      </c>
      <c r="BF63" s="205">
        <f t="shared" si="87"/>
        <v>24333.120000000003</v>
      </c>
      <c r="BG63" s="205">
        <f t="shared" si="87"/>
        <v>24333.120000000003</v>
      </c>
      <c r="BH63" s="205">
        <f t="shared" si="87"/>
        <v>24333.120000000003</v>
      </c>
      <c r="BI63" s="205">
        <f t="shared" si="87"/>
        <v>24333.120000000003</v>
      </c>
      <c r="BJ63" s="205">
        <f t="shared" si="87"/>
        <v>24333.120000000003</v>
      </c>
      <c r="BK63" s="205">
        <f t="shared" si="87"/>
        <v>24333.120000000003</v>
      </c>
      <c r="BL63" s="205">
        <f t="shared" si="87"/>
        <v>24333.120000000003</v>
      </c>
      <c r="BM63" s="205">
        <f t="shared" si="87"/>
        <v>24333.120000000003</v>
      </c>
      <c r="BN63" s="205">
        <f t="shared" si="87"/>
        <v>24333.120000000003</v>
      </c>
      <c r="BO63" s="205">
        <f t="shared" si="87"/>
        <v>24333.120000000003</v>
      </c>
      <c r="BP63" s="205">
        <f t="shared" si="87"/>
        <v>24333.120000000003</v>
      </c>
      <c r="BQ63" s="205">
        <f t="shared" si="87"/>
        <v>24333.120000000003</v>
      </c>
      <c r="BR63" s="205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24333.120000000003</v>
      </c>
      <c r="BS63" s="205">
        <f t="shared" si="89"/>
        <v>24333.120000000003</v>
      </c>
      <c r="BT63" s="205">
        <f t="shared" si="89"/>
        <v>24333.120000000003</v>
      </c>
      <c r="BU63" s="205">
        <f t="shared" si="89"/>
        <v>24333.120000000003</v>
      </c>
      <c r="BV63" s="205">
        <f t="shared" si="89"/>
        <v>24333.120000000003</v>
      </c>
      <c r="BW63" s="205">
        <f t="shared" si="89"/>
        <v>24333.120000000003</v>
      </c>
      <c r="BX63" s="205">
        <f t="shared" si="89"/>
        <v>24333.120000000003</v>
      </c>
      <c r="BY63" s="205">
        <f t="shared" si="89"/>
        <v>24333.120000000003</v>
      </c>
      <c r="BZ63" s="205">
        <f t="shared" si="89"/>
        <v>24333.120000000003</v>
      </c>
      <c r="CA63" s="205">
        <f t="shared" si="89"/>
        <v>24333.120000000003</v>
      </c>
      <c r="CB63" s="205">
        <f t="shared" si="89"/>
        <v>24333.120000000003</v>
      </c>
      <c r="CC63" s="205">
        <f t="shared" si="89"/>
        <v>24333.120000000003</v>
      </c>
      <c r="CD63" s="205">
        <f t="shared" si="89"/>
        <v>24333.120000000003</v>
      </c>
      <c r="CE63" s="205">
        <f t="shared" si="89"/>
        <v>24333.120000000003</v>
      </c>
      <c r="CF63" s="205">
        <f t="shared" si="89"/>
        <v>24333.120000000003</v>
      </c>
      <c r="CG63" s="205">
        <f t="shared" si="89"/>
        <v>24333.120000000003</v>
      </c>
      <c r="CH63" s="205">
        <f t="shared" si="89"/>
        <v>24333.120000000003</v>
      </c>
      <c r="CI63" s="205">
        <f t="shared" si="89"/>
        <v>24333.120000000003</v>
      </c>
      <c r="CJ63" s="205">
        <f t="shared" si="89"/>
        <v>24333.120000000003</v>
      </c>
      <c r="CK63" s="205">
        <f t="shared" si="89"/>
        <v>24333.120000000003</v>
      </c>
      <c r="CL63" s="205">
        <f t="shared" si="89"/>
        <v>24333.120000000003</v>
      </c>
      <c r="CM63" s="205">
        <f t="shared" si="89"/>
        <v>24333.120000000003</v>
      </c>
      <c r="CN63" s="205">
        <f t="shared" si="89"/>
        <v>24333.120000000003</v>
      </c>
      <c r="CO63" s="205">
        <f t="shared" si="89"/>
        <v>24333.120000000003</v>
      </c>
      <c r="CP63" s="205">
        <f t="shared" si="89"/>
        <v>24333.120000000003</v>
      </c>
      <c r="CQ63" s="205">
        <f t="shared" si="89"/>
        <v>24333.120000000003</v>
      </c>
      <c r="CR63" s="205">
        <f t="shared" si="89"/>
        <v>24333.120000000003</v>
      </c>
      <c r="CS63" s="205">
        <f t="shared" si="89"/>
        <v>24333.120000000003</v>
      </c>
      <c r="CT63" s="205">
        <f t="shared" si="89"/>
        <v>24333.120000000003</v>
      </c>
      <c r="CU63" s="205">
        <f t="shared" si="89"/>
        <v>24333.120000000003</v>
      </c>
      <c r="CV63" s="205">
        <f t="shared" si="89"/>
        <v>24333.120000000003</v>
      </c>
      <c r="CW63" s="205">
        <f t="shared" si="89"/>
        <v>24333.120000000003</v>
      </c>
      <c r="CX63" s="205">
        <f t="shared" si="89"/>
        <v>24333.120000000003</v>
      </c>
      <c r="CY63" s="205">
        <f t="shared" si="89"/>
        <v>24333.120000000003</v>
      </c>
      <c r="CZ63" s="205">
        <f t="shared" si="89"/>
        <v>24333.120000000003</v>
      </c>
      <c r="DA63" s="205">
        <f t="shared" si="89"/>
        <v>24333.120000000003</v>
      </c>
    </row>
    <row r="64" spans="1:105" s="205" customFormat="1">
      <c r="A64" s="205" t="str">
        <f>Income!A77</f>
        <v>Wild foods consumed and sold</v>
      </c>
      <c r="F64" s="205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716.80000000000007</v>
      </c>
      <c r="G64" s="205">
        <f t="shared" si="90"/>
        <v>716.80000000000007</v>
      </c>
      <c r="H64" s="205">
        <f t="shared" si="90"/>
        <v>716.80000000000007</v>
      </c>
      <c r="I64" s="205">
        <f t="shared" si="90"/>
        <v>716.80000000000007</v>
      </c>
      <c r="J64" s="205">
        <f t="shared" si="90"/>
        <v>716.80000000000007</v>
      </c>
      <c r="K64" s="205">
        <f t="shared" si="90"/>
        <v>716.80000000000007</v>
      </c>
      <c r="L64" s="205">
        <f t="shared" si="88"/>
        <v>716.80000000000007</v>
      </c>
      <c r="M64" s="205">
        <f t="shared" si="90"/>
        <v>716.80000000000007</v>
      </c>
      <c r="N64" s="205">
        <f t="shared" si="90"/>
        <v>716.80000000000007</v>
      </c>
      <c r="O64" s="205">
        <f t="shared" si="90"/>
        <v>716.80000000000007</v>
      </c>
      <c r="P64" s="205">
        <f t="shared" si="90"/>
        <v>716.80000000000007</v>
      </c>
      <c r="Q64" s="205">
        <f t="shared" si="90"/>
        <v>716.80000000000007</v>
      </c>
      <c r="R64" s="205">
        <f t="shared" si="90"/>
        <v>716.80000000000007</v>
      </c>
      <c r="S64" s="205">
        <f t="shared" si="90"/>
        <v>716.80000000000007</v>
      </c>
      <c r="T64" s="205">
        <f t="shared" si="90"/>
        <v>716.80000000000007</v>
      </c>
      <c r="U64" s="205">
        <f t="shared" si="90"/>
        <v>716.80000000000007</v>
      </c>
      <c r="V64" s="205">
        <f t="shared" si="90"/>
        <v>716.80000000000007</v>
      </c>
      <c r="W64" s="205">
        <f t="shared" si="90"/>
        <v>716.80000000000007</v>
      </c>
      <c r="X64" s="205">
        <f t="shared" si="90"/>
        <v>716.80000000000007</v>
      </c>
      <c r="Y64" s="205">
        <f t="shared" si="90"/>
        <v>716.80000000000007</v>
      </c>
      <c r="Z64" s="205">
        <f t="shared" si="90"/>
        <v>716.80000000000007</v>
      </c>
      <c r="AA64" s="205">
        <f t="shared" si="90"/>
        <v>716.80000000000007</v>
      </c>
      <c r="AB64" s="205">
        <f t="shared" si="90"/>
        <v>716.80000000000007</v>
      </c>
      <c r="AC64" s="205">
        <f t="shared" si="90"/>
        <v>716.80000000000007</v>
      </c>
      <c r="AD64" s="205">
        <f t="shared" si="90"/>
        <v>716.80000000000007</v>
      </c>
      <c r="AE64" s="205">
        <f t="shared" si="90"/>
        <v>716.80000000000007</v>
      </c>
      <c r="AF64" s="205">
        <f t="shared" si="90"/>
        <v>716.80000000000007</v>
      </c>
      <c r="AG64" s="205">
        <f t="shared" si="90"/>
        <v>716.80000000000007</v>
      </c>
      <c r="AH64" s="205">
        <f t="shared" si="90"/>
        <v>716.80000000000007</v>
      </c>
      <c r="AI64" s="205">
        <f t="shared" si="90"/>
        <v>716.80000000000007</v>
      </c>
      <c r="AJ64" s="205">
        <f t="shared" si="90"/>
        <v>716.80000000000007</v>
      </c>
      <c r="AK64" s="205">
        <f t="shared" si="90"/>
        <v>716.80000000000007</v>
      </c>
      <c r="AL64" s="205">
        <f t="shared" si="90"/>
        <v>716.80000000000007</v>
      </c>
      <c r="AM64" s="205">
        <f t="shared" si="90"/>
        <v>716.80000000000007</v>
      </c>
      <c r="AN64" s="205">
        <f t="shared" si="90"/>
        <v>716.80000000000007</v>
      </c>
      <c r="AO64" s="205">
        <f t="shared" si="90"/>
        <v>716.80000000000007</v>
      </c>
      <c r="AP64" s="205">
        <f t="shared" si="90"/>
        <v>716.80000000000007</v>
      </c>
      <c r="AQ64" s="205">
        <f t="shared" si="90"/>
        <v>716.80000000000007</v>
      </c>
      <c r="AR64" s="205">
        <f t="shared" si="90"/>
        <v>716.80000000000007</v>
      </c>
      <c r="AS64" s="205">
        <f t="shared" si="90"/>
        <v>716.80000000000007</v>
      </c>
      <c r="AT64" s="205">
        <f t="shared" si="90"/>
        <v>716.80000000000007</v>
      </c>
      <c r="AU64" s="205">
        <f t="shared" si="90"/>
        <v>716.80000000000007</v>
      </c>
      <c r="AV64" s="205">
        <f t="shared" si="90"/>
        <v>716.80000000000007</v>
      </c>
      <c r="AW64" s="205">
        <f t="shared" si="90"/>
        <v>716.80000000000007</v>
      </c>
      <c r="AX64" s="205">
        <f t="shared" si="90"/>
        <v>716.80000000000007</v>
      </c>
      <c r="AY64" s="205">
        <f t="shared" si="90"/>
        <v>716.80000000000007</v>
      </c>
      <c r="AZ64" s="205">
        <f t="shared" si="90"/>
        <v>716.80000000000007</v>
      </c>
      <c r="BA64" s="205">
        <f t="shared" si="90"/>
        <v>716.80000000000007</v>
      </c>
      <c r="BB64" s="205">
        <f t="shared" si="90"/>
        <v>716.80000000000007</v>
      </c>
      <c r="BC64" s="205">
        <f t="shared" si="90"/>
        <v>716.80000000000007</v>
      </c>
      <c r="BD64" s="205">
        <f t="shared" si="90"/>
        <v>0</v>
      </c>
      <c r="BE64" s="205">
        <f t="shared" si="90"/>
        <v>0</v>
      </c>
      <c r="BF64" s="205">
        <f t="shared" si="90"/>
        <v>0</v>
      </c>
      <c r="BG64" s="205">
        <f t="shared" si="90"/>
        <v>0</v>
      </c>
      <c r="BH64" s="205">
        <f t="shared" si="90"/>
        <v>0</v>
      </c>
      <c r="BI64" s="205">
        <f t="shared" si="90"/>
        <v>0</v>
      </c>
      <c r="BJ64" s="205">
        <f t="shared" si="90"/>
        <v>0</v>
      </c>
      <c r="BK64" s="205">
        <f t="shared" si="90"/>
        <v>0</v>
      </c>
      <c r="BL64" s="205">
        <f t="shared" si="90"/>
        <v>0</v>
      </c>
      <c r="BM64" s="205">
        <f t="shared" si="90"/>
        <v>0</v>
      </c>
      <c r="BN64" s="205">
        <f t="shared" si="90"/>
        <v>0</v>
      </c>
      <c r="BO64" s="205">
        <f t="shared" si="90"/>
        <v>0</v>
      </c>
      <c r="BP64" s="205">
        <f t="shared" si="90"/>
        <v>0</v>
      </c>
      <c r="BQ64" s="205">
        <f t="shared" si="90"/>
        <v>0</v>
      </c>
      <c r="BR64" s="205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0</v>
      </c>
      <c r="BS64" s="205">
        <f t="shared" si="91"/>
        <v>0</v>
      </c>
      <c r="BT64" s="205">
        <f t="shared" si="91"/>
        <v>0</v>
      </c>
      <c r="BU64" s="205">
        <f t="shared" si="91"/>
        <v>0</v>
      </c>
      <c r="BV64" s="205">
        <f t="shared" si="91"/>
        <v>0</v>
      </c>
      <c r="BW64" s="205">
        <f t="shared" si="91"/>
        <v>0</v>
      </c>
      <c r="BX64" s="205">
        <f t="shared" si="91"/>
        <v>0</v>
      </c>
      <c r="BY64" s="205">
        <f t="shared" si="91"/>
        <v>0</v>
      </c>
      <c r="BZ64" s="205">
        <f t="shared" si="91"/>
        <v>0</v>
      </c>
      <c r="CA64" s="205">
        <f t="shared" si="91"/>
        <v>0</v>
      </c>
      <c r="CB64" s="205">
        <f t="shared" si="91"/>
        <v>0</v>
      </c>
      <c r="CC64" s="205">
        <f t="shared" si="91"/>
        <v>0</v>
      </c>
      <c r="CD64" s="205">
        <f t="shared" si="91"/>
        <v>0</v>
      </c>
      <c r="CE64" s="205">
        <f t="shared" si="91"/>
        <v>0</v>
      </c>
      <c r="CF64" s="205">
        <f t="shared" si="91"/>
        <v>0</v>
      </c>
      <c r="CG64" s="205">
        <f t="shared" si="91"/>
        <v>0</v>
      </c>
      <c r="CH64" s="205">
        <f t="shared" si="91"/>
        <v>0</v>
      </c>
      <c r="CI64" s="205">
        <f t="shared" si="91"/>
        <v>0</v>
      </c>
      <c r="CJ64" s="205">
        <f t="shared" si="91"/>
        <v>0</v>
      </c>
      <c r="CK64" s="205">
        <f t="shared" si="91"/>
        <v>0</v>
      </c>
      <c r="CL64" s="205">
        <f t="shared" si="91"/>
        <v>0</v>
      </c>
      <c r="CM64" s="205">
        <f t="shared" si="91"/>
        <v>0</v>
      </c>
      <c r="CN64" s="205">
        <f t="shared" si="91"/>
        <v>0</v>
      </c>
      <c r="CO64" s="205">
        <f t="shared" si="91"/>
        <v>0</v>
      </c>
      <c r="CP64" s="205">
        <f t="shared" si="91"/>
        <v>0</v>
      </c>
      <c r="CQ64" s="205">
        <f t="shared" si="91"/>
        <v>0</v>
      </c>
      <c r="CR64" s="205">
        <f t="shared" si="91"/>
        <v>0</v>
      </c>
      <c r="CS64" s="205">
        <f t="shared" si="91"/>
        <v>0</v>
      </c>
      <c r="CT64" s="205">
        <f t="shared" si="91"/>
        <v>0</v>
      </c>
      <c r="CU64" s="205">
        <f t="shared" si="91"/>
        <v>0</v>
      </c>
      <c r="CV64" s="205">
        <f t="shared" si="91"/>
        <v>0</v>
      </c>
      <c r="CW64" s="205">
        <f t="shared" si="91"/>
        <v>0</v>
      </c>
      <c r="CX64" s="205">
        <f t="shared" si="91"/>
        <v>0</v>
      </c>
      <c r="CY64" s="205">
        <f t="shared" si="91"/>
        <v>0</v>
      </c>
      <c r="CZ64" s="205">
        <f t="shared" si="91"/>
        <v>0</v>
      </c>
      <c r="DA64" s="205">
        <f t="shared" si="91"/>
        <v>0</v>
      </c>
    </row>
    <row r="65" spans="1:105" s="205" customFormat="1">
      <c r="A65" s="205" t="str">
        <f>Income!A78</f>
        <v>Labour - casual</v>
      </c>
      <c r="F65" s="205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6731.2000000000007</v>
      </c>
      <c r="G65" s="205">
        <f t="shared" si="92"/>
        <v>6731.2000000000007</v>
      </c>
      <c r="H65" s="205">
        <f t="shared" si="92"/>
        <v>6731.2000000000007</v>
      </c>
      <c r="I65" s="205">
        <f t="shared" si="92"/>
        <v>6731.2000000000007</v>
      </c>
      <c r="J65" s="205">
        <f t="shared" si="92"/>
        <v>6731.2000000000007</v>
      </c>
      <c r="K65" s="205">
        <f t="shared" si="92"/>
        <v>6731.2000000000007</v>
      </c>
      <c r="L65" s="205">
        <f t="shared" si="88"/>
        <v>6731.2000000000007</v>
      </c>
      <c r="M65" s="205">
        <f t="shared" si="92"/>
        <v>6731.2000000000007</v>
      </c>
      <c r="N65" s="205">
        <f t="shared" si="92"/>
        <v>6731.2000000000007</v>
      </c>
      <c r="O65" s="205">
        <f t="shared" si="92"/>
        <v>6731.2000000000007</v>
      </c>
      <c r="P65" s="205">
        <f t="shared" si="92"/>
        <v>6731.2000000000007</v>
      </c>
      <c r="Q65" s="205">
        <f t="shared" si="92"/>
        <v>6731.2000000000007</v>
      </c>
      <c r="R65" s="205">
        <f t="shared" si="92"/>
        <v>6731.2000000000007</v>
      </c>
      <c r="S65" s="205">
        <f t="shared" si="92"/>
        <v>6731.2000000000007</v>
      </c>
      <c r="T65" s="205">
        <f t="shared" si="92"/>
        <v>6731.2000000000007</v>
      </c>
      <c r="U65" s="205">
        <f t="shared" si="92"/>
        <v>6731.2000000000007</v>
      </c>
      <c r="V65" s="205">
        <f t="shared" si="92"/>
        <v>6731.2000000000007</v>
      </c>
      <c r="W65" s="205">
        <f t="shared" si="92"/>
        <v>6731.2000000000007</v>
      </c>
      <c r="X65" s="205">
        <f t="shared" si="92"/>
        <v>6731.2000000000007</v>
      </c>
      <c r="Y65" s="205">
        <f t="shared" si="92"/>
        <v>6731.2000000000007</v>
      </c>
      <c r="Z65" s="205">
        <f t="shared" si="92"/>
        <v>6731.2000000000007</v>
      </c>
      <c r="AA65" s="205">
        <f t="shared" si="92"/>
        <v>6731.2000000000007</v>
      </c>
      <c r="AB65" s="205">
        <f t="shared" si="92"/>
        <v>6731.2000000000007</v>
      </c>
      <c r="AC65" s="205">
        <f t="shared" si="92"/>
        <v>6731.2000000000007</v>
      </c>
      <c r="AD65" s="205">
        <f t="shared" si="92"/>
        <v>6731.2000000000007</v>
      </c>
      <c r="AE65" s="205">
        <f t="shared" si="92"/>
        <v>6869.2571428571437</v>
      </c>
      <c r="AF65" s="205">
        <f t="shared" si="92"/>
        <v>7145.3714285714295</v>
      </c>
      <c r="AG65" s="205">
        <f t="shared" si="92"/>
        <v>7421.4857142857154</v>
      </c>
      <c r="AH65" s="205">
        <f t="shared" si="92"/>
        <v>7697.6</v>
      </c>
      <c r="AI65" s="205">
        <f t="shared" si="92"/>
        <v>7973.7142857142862</v>
      </c>
      <c r="AJ65" s="205">
        <f t="shared" si="92"/>
        <v>8249.8285714285721</v>
      </c>
      <c r="AK65" s="205">
        <f t="shared" si="92"/>
        <v>8525.942857142858</v>
      </c>
      <c r="AL65" s="205">
        <f t="shared" si="92"/>
        <v>8802.0571428571438</v>
      </c>
      <c r="AM65" s="205">
        <f t="shared" si="92"/>
        <v>9078.1714285714297</v>
      </c>
      <c r="AN65" s="205">
        <f t="shared" si="92"/>
        <v>9354.2857142857156</v>
      </c>
      <c r="AO65" s="205">
        <f t="shared" si="92"/>
        <v>9630.4000000000015</v>
      </c>
      <c r="AP65" s="205">
        <f t="shared" si="92"/>
        <v>9906.5142857142873</v>
      </c>
      <c r="AQ65" s="205">
        <f t="shared" si="92"/>
        <v>10182.628571428573</v>
      </c>
      <c r="AR65" s="205">
        <f t="shared" si="92"/>
        <v>10458.742857142859</v>
      </c>
      <c r="AS65" s="205">
        <f t="shared" si="92"/>
        <v>10734.857142857145</v>
      </c>
      <c r="AT65" s="205">
        <f t="shared" si="92"/>
        <v>11010.971428571429</v>
      </c>
      <c r="AU65" s="205">
        <f t="shared" si="92"/>
        <v>11287.085714285717</v>
      </c>
      <c r="AV65" s="205">
        <f t="shared" si="92"/>
        <v>11563.2</v>
      </c>
      <c r="AW65" s="205">
        <f t="shared" si="92"/>
        <v>11839.314285714288</v>
      </c>
      <c r="AX65" s="205">
        <f t="shared" si="92"/>
        <v>12115.428571428572</v>
      </c>
      <c r="AY65" s="205">
        <f t="shared" si="92"/>
        <v>12391.542857142858</v>
      </c>
      <c r="AZ65" s="205">
        <f t="shared" si="92"/>
        <v>12667.657142857144</v>
      </c>
      <c r="BA65" s="205">
        <f t="shared" si="92"/>
        <v>12943.77142857143</v>
      </c>
      <c r="BB65" s="205">
        <f t="shared" si="92"/>
        <v>13219.885714285716</v>
      </c>
      <c r="BC65" s="205">
        <f t="shared" si="92"/>
        <v>13496.000000000002</v>
      </c>
      <c r="BD65" s="205">
        <f t="shared" si="92"/>
        <v>0</v>
      </c>
      <c r="BE65" s="205">
        <f t="shared" si="92"/>
        <v>0</v>
      </c>
      <c r="BF65" s="205">
        <f t="shared" si="92"/>
        <v>0</v>
      </c>
      <c r="BG65" s="205">
        <f t="shared" si="92"/>
        <v>0</v>
      </c>
      <c r="BH65" s="205">
        <f t="shared" si="92"/>
        <v>0</v>
      </c>
      <c r="BI65" s="205">
        <f t="shared" si="92"/>
        <v>0</v>
      </c>
      <c r="BJ65" s="205">
        <f t="shared" si="92"/>
        <v>0</v>
      </c>
      <c r="BK65" s="205">
        <f t="shared" si="92"/>
        <v>0</v>
      </c>
      <c r="BL65" s="205">
        <f t="shared" si="92"/>
        <v>0</v>
      </c>
      <c r="BM65" s="205">
        <f t="shared" si="92"/>
        <v>0</v>
      </c>
      <c r="BN65" s="205">
        <f t="shared" si="92"/>
        <v>0</v>
      </c>
      <c r="BO65" s="205">
        <f t="shared" si="92"/>
        <v>0</v>
      </c>
      <c r="BP65" s="205">
        <f t="shared" si="92"/>
        <v>0</v>
      </c>
      <c r="BQ65" s="205">
        <f t="shared" si="92"/>
        <v>0</v>
      </c>
      <c r="BR65" s="205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0</v>
      </c>
      <c r="BS65" s="205">
        <f t="shared" si="93"/>
        <v>0</v>
      </c>
      <c r="BT65" s="205">
        <f t="shared" si="93"/>
        <v>0</v>
      </c>
      <c r="BU65" s="205">
        <f t="shared" si="93"/>
        <v>0</v>
      </c>
      <c r="BV65" s="205">
        <f t="shared" si="93"/>
        <v>0</v>
      </c>
      <c r="BW65" s="205">
        <f t="shared" si="93"/>
        <v>0</v>
      </c>
      <c r="BX65" s="205">
        <f t="shared" si="93"/>
        <v>0</v>
      </c>
      <c r="BY65" s="205">
        <f t="shared" si="93"/>
        <v>0</v>
      </c>
      <c r="BZ65" s="205">
        <f t="shared" si="93"/>
        <v>0</v>
      </c>
      <c r="CA65" s="205">
        <f t="shared" si="93"/>
        <v>0</v>
      </c>
      <c r="CB65" s="205">
        <f t="shared" si="93"/>
        <v>0</v>
      </c>
      <c r="CC65" s="205">
        <f t="shared" si="93"/>
        <v>0</v>
      </c>
      <c r="CD65" s="205">
        <f t="shared" si="93"/>
        <v>0</v>
      </c>
      <c r="CE65" s="205">
        <f t="shared" si="93"/>
        <v>0</v>
      </c>
      <c r="CF65" s="205">
        <f t="shared" si="93"/>
        <v>0</v>
      </c>
      <c r="CG65" s="205">
        <f t="shared" si="93"/>
        <v>0</v>
      </c>
      <c r="CH65" s="205">
        <f t="shared" si="93"/>
        <v>0</v>
      </c>
      <c r="CI65" s="205">
        <f t="shared" si="93"/>
        <v>0</v>
      </c>
      <c r="CJ65" s="205">
        <f t="shared" si="93"/>
        <v>0</v>
      </c>
      <c r="CK65" s="205">
        <f t="shared" si="93"/>
        <v>0</v>
      </c>
      <c r="CL65" s="205">
        <f t="shared" si="93"/>
        <v>0</v>
      </c>
      <c r="CM65" s="205">
        <f t="shared" si="93"/>
        <v>0</v>
      </c>
      <c r="CN65" s="205">
        <f t="shared" si="93"/>
        <v>0</v>
      </c>
      <c r="CO65" s="205">
        <f t="shared" si="93"/>
        <v>0</v>
      </c>
      <c r="CP65" s="205">
        <f t="shared" si="93"/>
        <v>0</v>
      </c>
      <c r="CQ65" s="205">
        <f t="shared" si="93"/>
        <v>0</v>
      </c>
      <c r="CR65" s="205">
        <f t="shared" si="93"/>
        <v>0</v>
      </c>
      <c r="CS65" s="205">
        <f t="shared" si="93"/>
        <v>0</v>
      </c>
      <c r="CT65" s="205">
        <f t="shared" si="93"/>
        <v>0</v>
      </c>
      <c r="CU65" s="205">
        <f t="shared" si="93"/>
        <v>0</v>
      </c>
      <c r="CV65" s="205">
        <f t="shared" si="93"/>
        <v>0</v>
      </c>
      <c r="CW65" s="205">
        <f t="shared" si="93"/>
        <v>0</v>
      </c>
      <c r="CX65" s="205">
        <f t="shared" si="93"/>
        <v>0</v>
      </c>
      <c r="CY65" s="205">
        <f t="shared" si="93"/>
        <v>0</v>
      </c>
      <c r="CZ65" s="205">
        <f t="shared" si="93"/>
        <v>0</v>
      </c>
      <c r="DA65" s="205">
        <f t="shared" si="93"/>
        <v>0</v>
      </c>
    </row>
    <row r="66" spans="1:105" s="205" customFormat="1">
      <c r="A66" s="205" t="str">
        <f>Income!A79</f>
        <v>Labour - formal emp</v>
      </c>
      <c r="F66" s="205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5">
        <f t="shared" si="94"/>
        <v>0</v>
      </c>
      <c r="H66" s="205">
        <f t="shared" si="94"/>
        <v>0</v>
      </c>
      <c r="I66" s="205">
        <f t="shared" si="94"/>
        <v>0</v>
      </c>
      <c r="J66" s="205">
        <f t="shared" si="94"/>
        <v>0</v>
      </c>
      <c r="K66" s="205">
        <f t="shared" si="94"/>
        <v>0</v>
      </c>
      <c r="L66" s="205">
        <f t="shared" si="88"/>
        <v>0</v>
      </c>
      <c r="M66" s="205">
        <f t="shared" si="94"/>
        <v>0</v>
      </c>
      <c r="N66" s="205">
        <f t="shared" si="94"/>
        <v>0</v>
      </c>
      <c r="O66" s="205">
        <f t="shared" si="94"/>
        <v>0</v>
      </c>
      <c r="P66" s="205">
        <f t="shared" si="94"/>
        <v>0</v>
      </c>
      <c r="Q66" s="205">
        <f t="shared" si="94"/>
        <v>0</v>
      </c>
      <c r="R66" s="205">
        <f t="shared" si="94"/>
        <v>0</v>
      </c>
      <c r="S66" s="205">
        <f t="shared" si="94"/>
        <v>0</v>
      </c>
      <c r="T66" s="205">
        <f t="shared" si="94"/>
        <v>0</v>
      </c>
      <c r="U66" s="205">
        <f t="shared" si="94"/>
        <v>0</v>
      </c>
      <c r="V66" s="205">
        <f t="shared" si="94"/>
        <v>0</v>
      </c>
      <c r="W66" s="205">
        <f t="shared" si="94"/>
        <v>0</v>
      </c>
      <c r="X66" s="205">
        <f t="shared" si="94"/>
        <v>0</v>
      </c>
      <c r="Y66" s="205">
        <f t="shared" si="94"/>
        <v>0</v>
      </c>
      <c r="Z66" s="205">
        <f t="shared" si="94"/>
        <v>0</v>
      </c>
      <c r="AA66" s="205">
        <f t="shared" si="94"/>
        <v>0</v>
      </c>
      <c r="AB66" s="205">
        <f t="shared" si="94"/>
        <v>0</v>
      </c>
      <c r="AC66" s="205">
        <f t="shared" si="94"/>
        <v>0</v>
      </c>
      <c r="AD66" s="205">
        <f t="shared" si="94"/>
        <v>0</v>
      </c>
      <c r="AE66" s="205">
        <f t="shared" si="94"/>
        <v>0</v>
      </c>
      <c r="AF66" s="205">
        <f t="shared" si="94"/>
        <v>0</v>
      </c>
      <c r="AG66" s="205">
        <f t="shared" si="94"/>
        <v>0</v>
      </c>
      <c r="AH66" s="205">
        <f t="shared" si="94"/>
        <v>0</v>
      </c>
      <c r="AI66" s="205">
        <f t="shared" si="94"/>
        <v>0</v>
      </c>
      <c r="AJ66" s="205">
        <f t="shared" si="94"/>
        <v>0</v>
      </c>
      <c r="AK66" s="205">
        <f t="shared" si="94"/>
        <v>0</v>
      </c>
      <c r="AL66" s="205">
        <f t="shared" si="94"/>
        <v>0</v>
      </c>
      <c r="AM66" s="205">
        <f t="shared" si="94"/>
        <v>0</v>
      </c>
      <c r="AN66" s="205">
        <f t="shared" si="94"/>
        <v>0</v>
      </c>
      <c r="AO66" s="205">
        <f t="shared" si="94"/>
        <v>0</v>
      </c>
      <c r="AP66" s="205">
        <f t="shared" si="94"/>
        <v>0</v>
      </c>
      <c r="AQ66" s="205">
        <f t="shared" si="94"/>
        <v>0</v>
      </c>
      <c r="AR66" s="205">
        <f t="shared" si="94"/>
        <v>0</v>
      </c>
      <c r="AS66" s="205">
        <f t="shared" si="94"/>
        <v>0</v>
      </c>
      <c r="AT66" s="205">
        <f t="shared" si="94"/>
        <v>0</v>
      </c>
      <c r="AU66" s="205">
        <f t="shared" si="94"/>
        <v>0</v>
      </c>
      <c r="AV66" s="205">
        <f t="shared" si="94"/>
        <v>0</v>
      </c>
      <c r="AW66" s="205">
        <f t="shared" si="94"/>
        <v>0</v>
      </c>
      <c r="AX66" s="205">
        <f t="shared" si="94"/>
        <v>0</v>
      </c>
      <c r="AY66" s="205">
        <f t="shared" si="94"/>
        <v>0</v>
      </c>
      <c r="AZ66" s="205">
        <f t="shared" si="94"/>
        <v>0</v>
      </c>
      <c r="BA66" s="205">
        <f t="shared" si="94"/>
        <v>0</v>
      </c>
      <c r="BB66" s="205">
        <f t="shared" si="94"/>
        <v>0</v>
      </c>
      <c r="BC66" s="205">
        <f t="shared" si="94"/>
        <v>0</v>
      </c>
      <c r="BD66" s="205">
        <f t="shared" si="94"/>
        <v>278491.32800000004</v>
      </c>
      <c r="BE66" s="205">
        <f t="shared" si="94"/>
        <v>282806.65600000008</v>
      </c>
      <c r="BF66" s="205">
        <f t="shared" si="94"/>
        <v>287121.98400000005</v>
      </c>
      <c r="BG66" s="205">
        <f t="shared" si="94"/>
        <v>291437.31200000009</v>
      </c>
      <c r="BH66" s="205">
        <f t="shared" si="94"/>
        <v>295752.64000000007</v>
      </c>
      <c r="BI66" s="205">
        <f t="shared" si="94"/>
        <v>300067.96800000005</v>
      </c>
      <c r="BJ66" s="205">
        <f t="shared" si="94"/>
        <v>304383.29600000009</v>
      </c>
      <c r="BK66" s="205">
        <f t="shared" si="94"/>
        <v>308698.62400000007</v>
      </c>
      <c r="BL66" s="205">
        <f t="shared" si="94"/>
        <v>313013.95200000005</v>
      </c>
      <c r="BM66" s="205">
        <f t="shared" si="94"/>
        <v>317329.28000000009</v>
      </c>
      <c r="BN66" s="205">
        <f t="shared" si="94"/>
        <v>321644.60800000007</v>
      </c>
      <c r="BO66" s="205">
        <f t="shared" si="94"/>
        <v>325959.9360000001</v>
      </c>
      <c r="BP66" s="205">
        <f t="shared" si="94"/>
        <v>330275.26400000008</v>
      </c>
      <c r="BQ66" s="205">
        <f t="shared" si="94"/>
        <v>334590.59200000006</v>
      </c>
      <c r="BR66" s="205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338905.9200000001</v>
      </c>
      <c r="BS66" s="205">
        <f t="shared" si="95"/>
        <v>343221.24800000008</v>
      </c>
      <c r="BT66" s="205">
        <f t="shared" si="95"/>
        <v>347536.57600000012</v>
      </c>
      <c r="BU66" s="205">
        <f t="shared" si="95"/>
        <v>351851.9040000001</v>
      </c>
      <c r="BV66" s="205">
        <f t="shared" si="95"/>
        <v>356167.23200000008</v>
      </c>
      <c r="BW66" s="205">
        <f t="shared" si="95"/>
        <v>360482.56000000011</v>
      </c>
      <c r="BX66" s="205">
        <f t="shared" si="95"/>
        <v>364797.88800000009</v>
      </c>
      <c r="BY66" s="205">
        <f t="shared" si="95"/>
        <v>369113.21600000013</v>
      </c>
      <c r="BZ66" s="205">
        <f t="shared" si="95"/>
        <v>373428.54400000011</v>
      </c>
      <c r="CA66" s="205">
        <f t="shared" si="95"/>
        <v>377743.87200000009</v>
      </c>
      <c r="CB66" s="205">
        <f t="shared" si="95"/>
        <v>382059.20000000013</v>
      </c>
      <c r="CC66" s="205">
        <f t="shared" si="95"/>
        <v>386374.52800000011</v>
      </c>
      <c r="CD66" s="205">
        <f t="shared" si="95"/>
        <v>390689.85600000015</v>
      </c>
      <c r="CE66" s="205">
        <f t="shared" si="95"/>
        <v>395005.18400000012</v>
      </c>
      <c r="CF66" s="205">
        <f t="shared" si="95"/>
        <v>399320.5120000001</v>
      </c>
      <c r="CG66" s="205">
        <f t="shared" si="95"/>
        <v>403635.84000000014</v>
      </c>
      <c r="CH66" s="205">
        <f t="shared" si="95"/>
        <v>407951.16800000012</v>
      </c>
      <c r="CI66" s="205">
        <f t="shared" si="95"/>
        <v>412266.49600000016</v>
      </c>
      <c r="CJ66" s="205">
        <f t="shared" si="95"/>
        <v>416581.82400000014</v>
      </c>
      <c r="CK66" s="205">
        <f t="shared" si="95"/>
        <v>420897.15200000012</v>
      </c>
      <c r="CL66" s="205">
        <f t="shared" si="95"/>
        <v>425212.4800000001</v>
      </c>
      <c r="CM66" s="205">
        <f t="shared" si="95"/>
        <v>429527.80800000014</v>
      </c>
      <c r="CN66" s="205">
        <f t="shared" si="95"/>
        <v>433843.13600000017</v>
      </c>
      <c r="CO66" s="205">
        <f t="shared" si="95"/>
        <v>438158.46400000015</v>
      </c>
      <c r="CP66" s="205">
        <f t="shared" si="95"/>
        <v>442473.79200000013</v>
      </c>
      <c r="CQ66" s="205">
        <f t="shared" si="95"/>
        <v>446789.12000000011</v>
      </c>
      <c r="CR66" s="205">
        <f t="shared" si="95"/>
        <v>451104.44800000015</v>
      </c>
      <c r="CS66" s="205">
        <f t="shared" si="95"/>
        <v>455419.77600000019</v>
      </c>
      <c r="CT66" s="205">
        <f t="shared" si="95"/>
        <v>459735.10400000017</v>
      </c>
      <c r="CU66" s="205">
        <f t="shared" si="95"/>
        <v>464050.43200000015</v>
      </c>
      <c r="CV66" s="205">
        <f t="shared" si="95"/>
        <v>468365.76000000013</v>
      </c>
      <c r="CW66" s="205">
        <f t="shared" si="95"/>
        <v>472681.08800000016</v>
      </c>
      <c r="CX66" s="205">
        <f t="shared" si="95"/>
        <v>476996.4160000002</v>
      </c>
      <c r="CY66" s="205">
        <f t="shared" si="95"/>
        <v>481311.74400000018</v>
      </c>
      <c r="CZ66" s="205">
        <f t="shared" si="95"/>
        <v>485627.07200000016</v>
      </c>
      <c r="DA66" s="205">
        <f t="shared" si="95"/>
        <v>489942.40000000014</v>
      </c>
    </row>
    <row r="67" spans="1:105" s="205" customFormat="1">
      <c r="A67" s="205" t="str">
        <f>Income!A81</f>
        <v>Self - employment</v>
      </c>
      <c r="F67" s="205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4032.0000000000005</v>
      </c>
      <c r="G67" s="205">
        <f t="shared" si="96"/>
        <v>4032.0000000000005</v>
      </c>
      <c r="H67" s="205">
        <f t="shared" si="96"/>
        <v>4032.0000000000005</v>
      </c>
      <c r="I67" s="205">
        <f t="shared" si="96"/>
        <v>4032.0000000000005</v>
      </c>
      <c r="J67" s="205">
        <f t="shared" si="96"/>
        <v>4032.0000000000005</v>
      </c>
      <c r="K67" s="205">
        <f t="shared" si="96"/>
        <v>4032.0000000000005</v>
      </c>
      <c r="L67" s="205">
        <f t="shared" si="88"/>
        <v>4032.0000000000005</v>
      </c>
      <c r="M67" s="205">
        <f t="shared" si="96"/>
        <v>4032.0000000000005</v>
      </c>
      <c r="N67" s="205">
        <f t="shared" si="96"/>
        <v>4032.0000000000005</v>
      </c>
      <c r="O67" s="205">
        <f t="shared" si="96"/>
        <v>4032.0000000000005</v>
      </c>
      <c r="P67" s="205">
        <f t="shared" si="96"/>
        <v>4032.0000000000005</v>
      </c>
      <c r="Q67" s="205">
        <f t="shared" si="96"/>
        <v>4032.0000000000005</v>
      </c>
      <c r="R67" s="205">
        <f t="shared" si="96"/>
        <v>4032.0000000000005</v>
      </c>
      <c r="S67" s="205">
        <f t="shared" si="96"/>
        <v>4032.0000000000005</v>
      </c>
      <c r="T67" s="205">
        <f t="shared" si="96"/>
        <v>4032.0000000000005</v>
      </c>
      <c r="U67" s="205">
        <f t="shared" si="96"/>
        <v>4032.0000000000005</v>
      </c>
      <c r="V67" s="205">
        <f t="shared" si="96"/>
        <v>4032.0000000000005</v>
      </c>
      <c r="W67" s="205">
        <f t="shared" si="96"/>
        <v>4032.0000000000005</v>
      </c>
      <c r="X67" s="205">
        <f t="shared" si="96"/>
        <v>4032.0000000000005</v>
      </c>
      <c r="Y67" s="205">
        <f t="shared" si="96"/>
        <v>4032.0000000000005</v>
      </c>
      <c r="Z67" s="205">
        <f t="shared" si="96"/>
        <v>4032.0000000000005</v>
      </c>
      <c r="AA67" s="205">
        <f t="shared" si="96"/>
        <v>4032.0000000000005</v>
      </c>
      <c r="AB67" s="205">
        <f t="shared" si="96"/>
        <v>4032.0000000000005</v>
      </c>
      <c r="AC67" s="205">
        <f t="shared" si="96"/>
        <v>4032.0000000000005</v>
      </c>
      <c r="AD67" s="205">
        <f t="shared" si="96"/>
        <v>4032.0000000000005</v>
      </c>
      <c r="AE67" s="205">
        <f t="shared" si="96"/>
        <v>4043.428571428572</v>
      </c>
      <c r="AF67" s="205">
        <f t="shared" si="96"/>
        <v>4066.2857142857147</v>
      </c>
      <c r="AG67" s="205">
        <f t="shared" si="96"/>
        <v>4089.1428571428578</v>
      </c>
      <c r="AH67" s="205">
        <f t="shared" si="96"/>
        <v>4112.0000000000009</v>
      </c>
      <c r="AI67" s="205">
        <f t="shared" si="96"/>
        <v>4134.8571428571431</v>
      </c>
      <c r="AJ67" s="205">
        <f t="shared" si="96"/>
        <v>4157.7142857142862</v>
      </c>
      <c r="AK67" s="205">
        <f t="shared" si="96"/>
        <v>4180.5714285714294</v>
      </c>
      <c r="AL67" s="205">
        <f t="shared" si="96"/>
        <v>4203.4285714285725</v>
      </c>
      <c r="AM67" s="205">
        <f t="shared" si="96"/>
        <v>4226.2857142857147</v>
      </c>
      <c r="AN67" s="205">
        <f t="shared" si="96"/>
        <v>4249.1428571428578</v>
      </c>
      <c r="AO67" s="205">
        <f t="shared" si="96"/>
        <v>4272.0000000000009</v>
      </c>
      <c r="AP67" s="205">
        <f t="shared" si="96"/>
        <v>4294.8571428571431</v>
      </c>
      <c r="AQ67" s="205">
        <f t="shared" si="96"/>
        <v>4317.7142857142862</v>
      </c>
      <c r="AR67" s="205">
        <f t="shared" si="96"/>
        <v>4340.5714285714294</v>
      </c>
      <c r="AS67" s="205">
        <f t="shared" si="96"/>
        <v>4363.4285714285725</v>
      </c>
      <c r="AT67" s="205">
        <f t="shared" si="96"/>
        <v>4386.2857142857147</v>
      </c>
      <c r="AU67" s="205">
        <f t="shared" si="96"/>
        <v>4409.1428571428578</v>
      </c>
      <c r="AV67" s="205">
        <f t="shared" si="96"/>
        <v>4432.0000000000009</v>
      </c>
      <c r="AW67" s="205">
        <f t="shared" si="96"/>
        <v>4454.857142857144</v>
      </c>
      <c r="AX67" s="205">
        <f t="shared" si="96"/>
        <v>4477.7142857142862</v>
      </c>
      <c r="AY67" s="205">
        <f t="shared" si="96"/>
        <v>4500.5714285714294</v>
      </c>
      <c r="AZ67" s="205">
        <f t="shared" si="96"/>
        <v>4523.4285714285725</v>
      </c>
      <c r="BA67" s="205">
        <f t="shared" si="96"/>
        <v>4546.2857142857156</v>
      </c>
      <c r="BB67" s="205">
        <f t="shared" si="96"/>
        <v>4569.1428571428578</v>
      </c>
      <c r="BC67" s="205">
        <f t="shared" si="96"/>
        <v>4592.0000000000009</v>
      </c>
      <c r="BD67" s="205">
        <f t="shared" si="96"/>
        <v>8850.9552000000022</v>
      </c>
      <c r="BE67" s="205">
        <f t="shared" si="96"/>
        <v>9637.9104000000025</v>
      </c>
      <c r="BF67" s="205">
        <f t="shared" si="96"/>
        <v>10424.865600000003</v>
      </c>
      <c r="BG67" s="205">
        <f t="shared" si="96"/>
        <v>11211.820800000003</v>
      </c>
      <c r="BH67" s="205">
        <f t="shared" si="96"/>
        <v>11998.776000000002</v>
      </c>
      <c r="BI67" s="205">
        <f t="shared" si="96"/>
        <v>12785.731200000002</v>
      </c>
      <c r="BJ67" s="205">
        <f t="shared" si="96"/>
        <v>13572.686400000002</v>
      </c>
      <c r="BK67" s="205">
        <f t="shared" si="96"/>
        <v>14359.641600000003</v>
      </c>
      <c r="BL67" s="205">
        <f t="shared" si="96"/>
        <v>15146.596800000003</v>
      </c>
      <c r="BM67" s="205">
        <f t="shared" si="96"/>
        <v>15933.552000000003</v>
      </c>
      <c r="BN67" s="205">
        <f t="shared" si="96"/>
        <v>16720.507200000004</v>
      </c>
      <c r="BO67" s="205">
        <f t="shared" si="96"/>
        <v>17507.462400000004</v>
      </c>
      <c r="BP67" s="205">
        <f t="shared" si="96"/>
        <v>18294.417600000004</v>
      </c>
      <c r="BQ67" s="205">
        <f t="shared" si="96"/>
        <v>19081.372800000001</v>
      </c>
      <c r="BR67" s="205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19868.328000000001</v>
      </c>
      <c r="BS67" s="205">
        <f t="shared" si="97"/>
        <v>20655.283200000002</v>
      </c>
      <c r="BT67" s="205">
        <f t="shared" si="97"/>
        <v>21442.238400000002</v>
      </c>
      <c r="BU67" s="205">
        <f t="shared" si="97"/>
        <v>22229.193600000002</v>
      </c>
      <c r="BV67" s="205">
        <f t="shared" si="97"/>
        <v>23016.148800000003</v>
      </c>
      <c r="BW67" s="205">
        <f t="shared" si="97"/>
        <v>23803.104000000003</v>
      </c>
      <c r="BX67" s="205">
        <f t="shared" si="97"/>
        <v>24590.059200000003</v>
      </c>
      <c r="BY67" s="205">
        <f t="shared" si="97"/>
        <v>25377.014400000004</v>
      </c>
      <c r="BZ67" s="205">
        <f t="shared" si="97"/>
        <v>26163.969600000004</v>
      </c>
      <c r="CA67" s="205">
        <f t="shared" si="97"/>
        <v>26950.924800000004</v>
      </c>
      <c r="CB67" s="205">
        <f t="shared" si="97"/>
        <v>27737.880000000005</v>
      </c>
      <c r="CC67" s="205">
        <f t="shared" si="97"/>
        <v>28524.835200000005</v>
      </c>
      <c r="CD67" s="205">
        <f t="shared" si="97"/>
        <v>29311.790400000002</v>
      </c>
      <c r="CE67" s="205">
        <f t="shared" si="97"/>
        <v>30098.745600000002</v>
      </c>
      <c r="CF67" s="205">
        <f t="shared" si="97"/>
        <v>30885.700800000002</v>
      </c>
      <c r="CG67" s="205">
        <f t="shared" si="97"/>
        <v>31672.656000000003</v>
      </c>
      <c r="CH67" s="205">
        <f t="shared" si="97"/>
        <v>32459.611200000003</v>
      </c>
      <c r="CI67" s="205">
        <f t="shared" si="97"/>
        <v>33246.566400000003</v>
      </c>
      <c r="CJ67" s="205">
        <f t="shared" si="97"/>
        <v>34033.5216</v>
      </c>
      <c r="CK67" s="205">
        <f t="shared" si="97"/>
        <v>34820.476800000004</v>
      </c>
      <c r="CL67" s="205">
        <f t="shared" si="97"/>
        <v>35607.432000000001</v>
      </c>
      <c r="CM67" s="205">
        <f t="shared" si="97"/>
        <v>36394.387200000005</v>
      </c>
      <c r="CN67" s="205">
        <f t="shared" si="97"/>
        <v>37181.342400000001</v>
      </c>
      <c r="CO67" s="205">
        <f t="shared" si="97"/>
        <v>37968.297599999998</v>
      </c>
      <c r="CP67" s="205">
        <f t="shared" si="97"/>
        <v>38755.252800000002</v>
      </c>
      <c r="CQ67" s="205">
        <f t="shared" si="97"/>
        <v>39542.207999999999</v>
      </c>
      <c r="CR67" s="205">
        <f t="shared" si="97"/>
        <v>40329.163200000003</v>
      </c>
      <c r="CS67" s="205">
        <f t="shared" si="97"/>
        <v>41116.118399999999</v>
      </c>
      <c r="CT67" s="205">
        <f t="shared" si="97"/>
        <v>41903.073599999996</v>
      </c>
      <c r="CU67" s="205">
        <f t="shared" si="97"/>
        <v>42690.0288</v>
      </c>
      <c r="CV67" s="205">
        <f t="shared" si="97"/>
        <v>43476.983999999997</v>
      </c>
      <c r="CW67" s="205">
        <f t="shared" si="97"/>
        <v>44263.939200000001</v>
      </c>
      <c r="CX67" s="205">
        <f t="shared" si="97"/>
        <v>45050.894399999997</v>
      </c>
      <c r="CY67" s="205">
        <f t="shared" si="97"/>
        <v>45837.849600000001</v>
      </c>
      <c r="CZ67" s="205">
        <f t="shared" si="97"/>
        <v>46624.804799999998</v>
      </c>
      <c r="DA67" s="205">
        <f t="shared" si="97"/>
        <v>47411.76</v>
      </c>
    </row>
    <row r="68" spans="1:105" s="205" customFormat="1">
      <c r="A68" s="205" t="str">
        <f>Income!A82</f>
        <v>Small business/petty trading</v>
      </c>
      <c r="F68" s="205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0</v>
      </c>
      <c r="G68" s="205">
        <f t="shared" si="98"/>
        <v>0</v>
      </c>
      <c r="H68" s="205">
        <f t="shared" si="98"/>
        <v>0</v>
      </c>
      <c r="I68" s="205">
        <f t="shared" si="98"/>
        <v>0</v>
      </c>
      <c r="J68" s="205">
        <f t="shared" si="98"/>
        <v>0</v>
      </c>
      <c r="K68" s="205">
        <f t="shared" si="98"/>
        <v>0</v>
      </c>
      <c r="L68" s="205">
        <f t="shared" si="88"/>
        <v>0</v>
      </c>
      <c r="M68" s="205">
        <f t="shared" si="98"/>
        <v>0</v>
      </c>
      <c r="N68" s="205">
        <f t="shared" si="98"/>
        <v>0</v>
      </c>
      <c r="O68" s="205">
        <f t="shared" si="98"/>
        <v>0</v>
      </c>
      <c r="P68" s="205">
        <f t="shared" si="98"/>
        <v>0</v>
      </c>
      <c r="Q68" s="205">
        <f t="shared" si="98"/>
        <v>0</v>
      </c>
      <c r="R68" s="205">
        <f t="shared" si="98"/>
        <v>0</v>
      </c>
      <c r="S68" s="205">
        <f t="shared" si="98"/>
        <v>0</v>
      </c>
      <c r="T68" s="205">
        <f t="shared" si="98"/>
        <v>0</v>
      </c>
      <c r="U68" s="205">
        <f t="shared" si="98"/>
        <v>0</v>
      </c>
      <c r="V68" s="205">
        <f t="shared" si="98"/>
        <v>0</v>
      </c>
      <c r="W68" s="205">
        <f t="shared" si="98"/>
        <v>0</v>
      </c>
      <c r="X68" s="205">
        <f t="shared" si="98"/>
        <v>0</v>
      </c>
      <c r="Y68" s="205">
        <f t="shared" si="98"/>
        <v>0</v>
      </c>
      <c r="Z68" s="205">
        <f t="shared" si="98"/>
        <v>0</v>
      </c>
      <c r="AA68" s="205">
        <f t="shared" si="98"/>
        <v>0</v>
      </c>
      <c r="AB68" s="205">
        <f t="shared" si="98"/>
        <v>0</v>
      </c>
      <c r="AC68" s="205">
        <f t="shared" si="98"/>
        <v>0</v>
      </c>
      <c r="AD68" s="205">
        <f t="shared" si="98"/>
        <v>0</v>
      </c>
      <c r="AE68" s="205">
        <f t="shared" si="98"/>
        <v>19.200000000000003</v>
      </c>
      <c r="AF68" s="205">
        <f t="shared" si="98"/>
        <v>57.600000000000009</v>
      </c>
      <c r="AG68" s="205">
        <f t="shared" si="98"/>
        <v>96.000000000000014</v>
      </c>
      <c r="AH68" s="205">
        <f t="shared" si="98"/>
        <v>134.40000000000003</v>
      </c>
      <c r="AI68" s="205">
        <f t="shared" si="98"/>
        <v>172.8</v>
      </c>
      <c r="AJ68" s="205">
        <f t="shared" si="98"/>
        <v>211.20000000000005</v>
      </c>
      <c r="AK68" s="205">
        <f t="shared" si="98"/>
        <v>249.60000000000002</v>
      </c>
      <c r="AL68" s="205">
        <f t="shared" si="98"/>
        <v>288.00000000000006</v>
      </c>
      <c r="AM68" s="205">
        <f t="shared" si="98"/>
        <v>326.40000000000003</v>
      </c>
      <c r="AN68" s="205">
        <f t="shared" si="98"/>
        <v>364.80000000000007</v>
      </c>
      <c r="AO68" s="205">
        <f t="shared" si="98"/>
        <v>403.20000000000005</v>
      </c>
      <c r="AP68" s="205">
        <f t="shared" si="98"/>
        <v>441.60000000000008</v>
      </c>
      <c r="AQ68" s="205">
        <f t="shared" si="98"/>
        <v>480.00000000000006</v>
      </c>
      <c r="AR68" s="205">
        <f t="shared" si="98"/>
        <v>518.40000000000009</v>
      </c>
      <c r="AS68" s="205">
        <f t="shared" si="98"/>
        <v>556.80000000000007</v>
      </c>
      <c r="AT68" s="205">
        <f t="shared" si="98"/>
        <v>595.20000000000005</v>
      </c>
      <c r="AU68" s="205">
        <f t="shared" si="98"/>
        <v>633.60000000000014</v>
      </c>
      <c r="AV68" s="205">
        <f t="shared" si="98"/>
        <v>672.00000000000011</v>
      </c>
      <c r="AW68" s="205">
        <f t="shared" si="98"/>
        <v>710.40000000000009</v>
      </c>
      <c r="AX68" s="205">
        <f t="shared" si="98"/>
        <v>748.80000000000007</v>
      </c>
      <c r="AY68" s="205">
        <f t="shared" si="98"/>
        <v>787.20000000000016</v>
      </c>
      <c r="AZ68" s="205">
        <f t="shared" si="98"/>
        <v>825.60000000000014</v>
      </c>
      <c r="BA68" s="205">
        <f t="shared" si="98"/>
        <v>864.00000000000011</v>
      </c>
      <c r="BB68" s="205">
        <f t="shared" si="98"/>
        <v>902.40000000000009</v>
      </c>
      <c r="BC68" s="205">
        <f t="shared" si="98"/>
        <v>940.80000000000018</v>
      </c>
      <c r="BD68" s="205">
        <f t="shared" si="98"/>
        <v>19392.928900000003</v>
      </c>
      <c r="BE68" s="205">
        <f t="shared" si="98"/>
        <v>19432.257800000003</v>
      </c>
      <c r="BF68" s="205">
        <f t="shared" si="98"/>
        <v>19471.586700000003</v>
      </c>
      <c r="BG68" s="205">
        <f t="shared" si="98"/>
        <v>19510.9156</v>
      </c>
      <c r="BH68" s="205">
        <f t="shared" si="98"/>
        <v>19550.244500000001</v>
      </c>
      <c r="BI68" s="205">
        <f t="shared" si="98"/>
        <v>19589.573400000001</v>
      </c>
      <c r="BJ68" s="205">
        <f t="shared" si="98"/>
        <v>19628.902300000002</v>
      </c>
      <c r="BK68" s="205">
        <f t="shared" si="98"/>
        <v>19668.231200000002</v>
      </c>
      <c r="BL68" s="205">
        <f t="shared" si="98"/>
        <v>19707.560100000002</v>
      </c>
      <c r="BM68" s="205">
        <f t="shared" si="98"/>
        <v>19746.889000000003</v>
      </c>
      <c r="BN68" s="205">
        <f t="shared" si="98"/>
        <v>19786.217900000003</v>
      </c>
      <c r="BO68" s="205">
        <f t="shared" si="98"/>
        <v>19825.546800000004</v>
      </c>
      <c r="BP68" s="205">
        <f t="shared" si="98"/>
        <v>19864.875700000001</v>
      </c>
      <c r="BQ68" s="205">
        <f t="shared" si="98"/>
        <v>19904.204600000001</v>
      </c>
      <c r="BR68" s="205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19943.533500000001</v>
      </c>
      <c r="BS68" s="205">
        <f t="shared" si="99"/>
        <v>19982.862400000002</v>
      </c>
      <c r="BT68" s="205">
        <f t="shared" si="99"/>
        <v>20022.191300000002</v>
      </c>
      <c r="BU68" s="205">
        <f t="shared" si="99"/>
        <v>20061.520200000003</v>
      </c>
      <c r="BV68" s="205">
        <f t="shared" si="99"/>
        <v>20100.849100000003</v>
      </c>
      <c r="BW68" s="205">
        <f t="shared" si="99"/>
        <v>20140.178</v>
      </c>
      <c r="BX68" s="205">
        <f t="shared" si="99"/>
        <v>20179.5069</v>
      </c>
      <c r="BY68" s="205">
        <f t="shared" si="99"/>
        <v>20218.835800000001</v>
      </c>
      <c r="BZ68" s="205">
        <f t="shared" si="99"/>
        <v>20258.164700000001</v>
      </c>
      <c r="CA68" s="205">
        <f t="shared" si="99"/>
        <v>20297.493600000002</v>
      </c>
      <c r="CB68" s="205">
        <f t="shared" si="99"/>
        <v>20336.822500000002</v>
      </c>
      <c r="CC68" s="205">
        <f t="shared" si="99"/>
        <v>20376.151400000002</v>
      </c>
      <c r="CD68" s="205">
        <f t="shared" si="99"/>
        <v>20415.480300000003</v>
      </c>
      <c r="CE68" s="205">
        <f t="shared" si="99"/>
        <v>20454.809200000003</v>
      </c>
      <c r="CF68" s="205">
        <f t="shared" si="99"/>
        <v>20494.1381</v>
      </c>
      <c r="CG68" s="205">
        <f t="shared" si="99"/>
        <v>20533.467000000001</v>
      </c>
      <c r="CH68" s="205">
        <f t="shared" si="99"/>
        <v>20572.795900000001</v>
      </c>
      <c r="CI68" s="205">
        <f t="shared" si="99"/>
        <v>20612.124800000001</v>
      </c>
      <c r="CJ68" s="205">
        <f t="shared" si="99"/>
        <v>20651.453700000002</v>
      </c>
      <c r="CK68" s="205">
        <f t="shared" si="99"/>
        <v>20690.782600000002</v>
      </c>
      <c r="CL68" s="205">
        <f t="shared" si="99"/>
        <v>20730.111500000003</v>
      </c>
      <c r="CM68" s="205">
        <f t="shared" si="99"/>
        <v>20769.440399999999</v>
      </c>
      <c r="CN68" s="205">
        <f t="shared" si="99"/>
        <v>20808.7693</v>
      </c>
      <c r="CO68" s="205">
        <f t="shared" si="99"/>
        <v>20848.0982</v>
      </c>
      <c r="CP68" s="205">
        <f t="shared" si="99"/>
        <v>20887.427100000001</v>
      </c>
      <c r="CQ68" s="205">
        <f t="shared" si="99"/>
        <v>20926.756000000001</v>
      </c>
      <c r="CR68" s="205">
        <f t="shared" si="99"/>
        <v>20966.084900000002</v>
      </c>
      <c r="CS68" s="205">
        <f t="shared" si="99"/>
        <v>21005.413800000002</v>
      </c>
      <c r="CT68" s="205">
        <f t="shared" si="99"/>
        <v>21044.742700000003</v>
      </c>
      <c r="CU68" s="205">
        <f t="shared" si="99"/>
        <v>21084.071600000003</v>
      </c>
      <c r="CV68" s="205">
        <f t="shared" si="99"/>
        <v>21123.4005</v>
      </c>
      <c r="CW68" s="205">
        <f t="shared" si="99"/>
        <v>21162.7294</v>
      </c>
      <c r="CX68" s="205">
        <f t="shared" si="99"/>
        <v>21202.058300000001</v>
      </c>
      <c r="CY68" s="205">
        <f t="shared" si="99"/>
        <v>21241.387200000001</v>
      </c>
      <c r="CZ68" s="205">
        <f t="shared" si="99"/>
        <v>21280.716100000001</v>
      </c>
      <c r="DA68" s="205">
        <f t="shared" si="99"/>
        <v>21320.045000000002</v>
      </c>
    </row>
    <row r="69" spans="1:105" s="205" customFormat="1">
      <c r="A69" s="205" t="str">
        <f>Income!A83</f>
        <v>Food transfer - official</v>
      </c>
      <c r="F69" s="205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666.26128843769459</v>
      </c>
      <c r="G69" s="205">
        <f t="shared" si="100"/>
        <v>666.26128843769459</v>
      </c>
      <c r="H69" s="205">
        <f t="shared" si="100"/>
        <v>666.26128843769459</v>
      </c>
      <c r="I69" s="205">
        <f t="shared" si="100"/>
        <v>666.26128843769459</v>
      </c>
      <c r="J69" s="205">
        <f t="shared" si="100"/>
        <v>666.26128843769459</v>
      </c>
      <c r="K69" s="205">
        <f t="shared" si="100"/>
        <v>666.26128843769459</v>
      </c>
      <c r="L69" s="205">
        <f t="shared" si="88"/>
        <v>666.26128843769459</v>
      </c>
      <c r="M69" s="205">
        <f t="shared" si="100"/>
        <v>666.26128843769459</v>
      </c>
      <c r="N69" s="205">
        <f t="shared" si="100"/>
        <v>666.26128843769459</v>
      </c>
      <c r="O69" s="205">
        <f t="shared" si="100"/>
        <v>666.26128843769459</v>
      </c>
      <c r="P69" s="205">
        <f t="shared" si="100"/>
        <v>666.26128843769459</v>
      </c>
      <c r="Q69" s="205">
        <f t="shared" si="100"/>
        <v>666.26128843769459</v>
      </c>
      <c r="R69" s="205">
        <f t="shared" si="100"/>
        <v>666.26128843769459</v>
      </c>
      <c r="S69" s="205">
        <f t="shared" si="100"/>
        <v>666.26128843769459</v>
      </c>
      <c r="T69" s="205">
        <f t="shared" si="100"/>
        <v>666.26128843769459</v>
      </c>
      <c r="U69" s="205">
        <f t="shared" si="100"/>
        <v>666.26128843769459</v>
      </c>
      <c r="V69" s="205">
        <f t="shared" si="100"/>
        <v>666.26128843769459</v>
      </c>
      <c r="W69" s="205">
        <f t="shared" si="100"/>
        <v>666.26128843769459</v>
      </c>
      <c r="X69" s="205">
        <f t="shared" si="100"/>
        <v>666.26128843769459</v>
      </c>
      <c r="Y69" s="205">
        <f t="shared" si="100"/>
        <v>666.26128843769459</v>
      </c>
      <c r="Z69" s="205">
        <f t="shared" si="100"/>
        <v>666.26128843769459</v>
      </c>
      <c r="AA69" s="205">
        <f t="shared" si="100"/>
        <v>666.26128843769459</v>
      </c>
      <c r="AB69" s="205">
        <f t="shared" si="100"/>
        <v>666.26128843769459</v>
      </c>
      <c r="AC69" s="205">
        <f t="shared" si="100"/>
        <v>666.26128843769459</v>
      </c>
      <c r="AD69" s="205">
        <f t="shared" si="100"/>
        <v>666.26128843769459</v>
      </c>
      <c r="AE69" s="205">
        <f t="shared" si="100"/>
        <v>666.0124513551782</v>
      </c>
      <c r="AF69" s="205">
        <f t="shared" si="100"/>
        <v>665.51477719014531</v>
      </c>
      <c r="AG69" s="205">
        <f t="shared" si="100"/>
        <v>665.01710302511253</v>
      </c>
      <c r="AH69" s="205">
        <f t="shared" si="100"/>
        <v>664.51942886007976</v>
      </c>
      <c r="AI69" s="205">
        <f t="shared" si="100"/>
        <v>664.02175469504687</v>
      </c>
      <c r="AJ69" s="205">
        <f t="shared" si="100"/>
        <v>663.52408053001409</v>
      </c>
      <c r="AK69" s="205">
        <f t="shared" si="100"/>
        <v>663.0264063649812</v>
      </c>
      <c r="AL69" s="205">
        <f t="shared" si="100"/>
        <v>662.52873219994842</v>
      </c>
      <c r="AM69" s="205">
        <f t="shared" si="100"/>
        <v>662.03105803491565</v>
      </c>
      <c r="AN69" s="205">
        <f t="shared" si="100"/>
        <v>661.53338386988275</v>
      </c>
      <c r="AO69" s="205">
        <f t="shared" si="100"/>
        <v>661.03570970484998</v>
      </c>
      <c r="AP69" s="205">
        <f t="shared" si="100"/>
        <v>660.53803553981709</v>
      </c>
      <c r="AQ69" s="205">
        <f t="shared" si="100"/>
        <v>660.04036137478431</v>
      </c>
      <c r="AR69" s="205">
        <f t="shared" si="100"/>
        <v>659.54268720975142</v>
      </c>
      <c r="AS69" s="205">
        <f t="shared" si="100"/>
        <v>659.04501304471864</v>
      </c>
      <c r="AT69" s="205">
        <f t="shared" si="100"/>
        <v>658.54733887968587</v>
      </c>
      <c r="AU69" s="205">
        <f t="shared" si="100"/>
        <v>658.04966471465298</v>
      </c>
      <c r="AV69" s="205">
        <f t="shared" si="100"/>
        <v>657.5519905496202</v>
      </c>
      <c r="AW69" s="205">
        <f t="shared" si="100"/>
        <v>657.05431638458731</v>
      </c>
      <c r="AX69" s="205">
        <f t="shared" si="100"/>
        <v>656.55664221955453</v>
      </c>
      <c r="AY69" s="205">
        <f t="shared" si="100"/>
        <v>656.05896805452176</v>
      </c>
      <c r="AZ69" s="205">
        <f t="shared" si="100"/>
        <v>655.56129388948887</v>
      </c>
      <c r="BA69" s="205">
        <f t="shared" si="100"/>
        <v>655.06361972445609</v>
      </c>
      <c r="BB69" s="205">
        <f t="shared" si="100"/>
        <v>654.5659455594232</v>
      </c>
      <c r="BC69" s="205">
        <f t="shared" si="100"/>
        <v>654.06827139439042</v>
      </c>
      <c r="BD69" s="205">
        <f t="shared" si="100"/>
        <v>0</v>
      </c>
      <c r="BE69" s="205">
        <f t="shared" si="100"/>
        <v>0</v>
      </c>
      <c r="BF69" s="205">
        <f t="shared" si="100"/>
        <v>0</v>
      </c>
      <c r="BG69" s="205">
        <f t="shared" si="100"/>
        <v>0</v>
      </c>
      <c r="BH69" s="205">
        <f t="shared" si="100"/>
        <v>0</v>
      </c>
      <c r="BI69" s="205">
        <f t="shared" si="100"/>
        <v>0</v>
      </c>
      <c r="BJ69" s="205">
        <f t="shared" si="100"/>
        <v>0</v>
      </c>
      <c r="BK69" s="205">
        <f t="shared" si="100"/>
        <v>0</v>
      </c>
      <c r="BL69" s="205">
        <f t="shared" si="100"/>
        <v>0</v>
      </c>
      <c r="BM69" s="205">
        <f t="shared" si="100"/>
        <v>0</v>
      </c>
      <c r="BN69" s="205">
        <f t="shared" si="100"/>
        <v>0</v>
      </c>
      <c r="BO69" s="205">
        <f t="shared" si="100"/>
        <v>0</v>
      </c>
      <c r="BP69" s="205">
        <f t="shared" si="100"/>
        <v>0</v>
      </c>
      <c r="BQ69" s="205">
        <f t="shared" si="100"/>
        <v>0</v>
      </c>
      <c r="BR69" s="205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0</v>
      </c>
      <c r="BS69" s="205">
        <f t="shared" si="101"/>
        <v>0</v>
      </c>
      <c r="BT69" s="205">
        <f t="shared" si="101"/>
        <v>0</v>
      </c>
      <c r="BU69" s="205">
        <f t="shared" si="101"/>
        <v>0</v>
      </c>
      <c r="BV69" s="205">
        <f t="shared" si="101"/>
        <v>0</v>
      </c>
      <c r="BW69" s="205">
        <f t="shared" si="101"/>
        <v>0</v>
      </c>
      <c r="BX69" s="205">
        <f t="shared" si="101"/>
        <v>0</v>
      </c>
      <c r="BY69" s="205">
        <f t="shared" si="101"/>
        <v>0</v>
      </c>
      <c r="BZ69" s="205">
        <f t="shared" si="101"/>
        <v>0</v>
      </c>
      <c r="CA69" s="205">
        <f t="shared" si="101"/>
        <v>0</v>
      </c>
      <c r="CB69" s="205">
        <f t="shared" si="101"/>
        <v>0</v>
      </c>
      <c r="CC69" s="205">
        <f t="shared" si="101"/>
        <v>0</v>
      </c>
      <c r="CD69" s="205">
        <f t="shared" si="101"/>
        <v>0</v>
      </c>
      <c r="CE69" s="205">
        <f t="shared" si="101"/>
        <v>0</v>
      </c>
      <c r="CF69" s="205">
        <f t="shared" si="101"/>
        <v>0</v>
      </c>
      <c r="CG69" s="205">
        <f t="shared" si="101"/>
        <v>0</v>
      </c>
      <c r="CH69" s="205">
        <f t="shared" si="101"/>
        <v>0</v>
      </c>
      <c r="CI69" s="205">
        <f t="shared" si="101"/>
        <v>0</v>
      </c>
      <c r="CJ69" s="205">
        <f t="shared" si="101"/>
        <v>0</v>
      </c>
      <c r="CK69" s="205">
        <f t="shared" si="101"/>
        <v>0</v>
      </c>
      <c r="CL69" s="205">
        <f t="shared" si="101"/>
        <v>0</v>
      </c>
      <c r="CM69" s="205">
        <f t="shared" si="101"/>
        <v>0</v>
      </c>
      <c r="CN69" s="205">
        <f t="shared" si="101"/>
        <v>0</v>
      </c>
      <c r="CO69" s="205">
        <f t="shared" si="101"/>
        <v>0</v>
      </c>
      <c r="CP69" s="205">
        <f t="shared" si="101"/>
        <v>0</v>
      </c>
      <c r="CQ69" s="205">
        <f t="shared" si="101"/>
        <v>0</v>
      </c>
      <c r="CR69" s="205">
        <f t="shared" si="101"/>
        <v>0</v>
      </c>
      <c r="CS69" s="205">
        <f t="shared" si="101"/>
        <v>0</v>
      </c>
      <c r="CT69" s="205">
        <f t="shared" si="101"/>
        <v>0</v>
      </c>
      <c r="CU69" s="205">
        <f t="shared" si="101"/>
        <v>0</v>
      </c>
      <c r="CV69" s="205">
        <f t="shared" si="101"/>
        <v>0</v>
      </c>
      <c r="CW69" s="205">
        <f t="shared" si="101"/>
        <v>0</v>
      </c>
      <c r="CX69" s="205">
        <f t="shared" si="101"/>
        <v>0</v>
      </c>
      <c r="CY69" s="205">
        <f t="shared" si="101"/>
        <v>0</v>
      </c>
      <c r="CZ69" s="205">
        <f t="shared" si="101"/>
        <v>0</v>
      </c>
      <c r="DA69" s="205">
        <f t="shared" si="101"/>
        <v>0</v>
      </c>
    </row>
    <row r="70" spans="1:105" s="205" customFormat="1">
      <c r="A70" s="205" t="str">
        <f>Income!A85</f>
        <v>Cash transfer - official</v>
      </c>
      <c r="F70" s="205">
        <f t="shared" si="100"/>
        <v>22378.617310981866</v>
      </c>
      <c r="G70" s="205">
        <f t="shared" si="100"/>
        <v>22378.617310981866</v>
      </c>
      <c r="H70" s="205">
        <f t="shared" si="100"/>
        <v>22378.617310981866</v>
      </c>
      <c r="I70" s="205">
        <f t="shared" si="100"/>
        <v>22378.617310981866</v>
      </c>
      <c r="J70" s="205">
        <f t="shared" si="100"/>
        <v>22378.617310981866</v>
      </c>
      <c r="K70" s="205">
        <f t="shared" si="100"/>
        <v>22378.617310981866</v>
      </c>
      <c r="L70" s="205">
        <f t="shared" si="100"/>
        <v>22378.617310981866</v>
      </c>
      <c r="M70" s="205">
        <f t="shared" si="100"/>
        <v>22378.617310981866</v>
      </c>
      <c r="N70" s="205">
        <f t="shared" si="100"/>
        <v>22378.617310981866</v>
      </c>
      <c r="O70" s="205">
        <f t="shared" si="100"/>
        <v>22378.617310981866</v>
      </c>
      <c r="P70" s="205">
        <f t="shared" si="100"/>
        <v>22378.617310981866</v>
      </c>
      <c r="Q70" s="205">
        <f t="shared" si="100"/>
        <v>22378.617310981866</v>
      </c>
      <c r="R70" s="205">
        <f t="shared" si="100"/>
        <v>22378.617310981866</v>
      </c>
      <c r="S70" s="205">
        <f t="shared" si="100"/>
        <v>22378.617310981866</v>
      </c>
      <c r="T70" s="205">
        <f t="shared" si="100"/>
        <v>22378.617310981866</v>
      </c>
      <c r="U70" s="205">
        <f t="shared" si="100"/>
        <v>22378.617310981866</v>
      </c>
      <c r="V70" s="205">
        <f t="shared" si="100"/>
        <v>22378.617310981866</v>
      </c>
      <c r="W70" s="205">
        <f t="shared" si="100"/>
        <v>22378.617310981866</v>
      </c>
      <c r="X70" s="205">
        <f t="shared" si="100"/>
        <v>22378.617310981866</v>
      </c>
      <c r="Y70" s="205">
        <f t="shared" si="100"/>
        <v>22378.617310981866</v>
      </c>
      <c r="Z70" s="205">
        <f t="shared" si="100"/>
        <v>22378.617310981866</v>
      </c>
      <c r="AA70" s="205">
        <f t="shared" si="100"/>
        <v>22378.617310981866</v>
      </c>
      <c r="AB70" s="205">
        <f t="shared" si="100"/>
        <v>22378.617310981866</v>
      </c>
      <c r="AC70" s="205">
        <f t="shared" si="100"/>
        <v>22378.617310981866</v>
      </c>
      <c r="AD70" s="205">
        <f t="shared" si="100"/>
        <v>22378.617310981866</v>
      </c>
      <c r="AE70" s="205">
        <f t="shared" si="100"/>
        <v>22378.617310981866</v>
      </c>
      <c r="AF70" s="205">
        <f t="shared" si="100"/>
        <v>22378.617310981866</v>
      </c>
      <c r="AG70" s="205">
        <f t="shared" si="100"/>
        <v>22378.617310981866</v>
      </c>
      <c r="AH70" s="205">
        <f t="shared" si="100"/>
        <v>22378.617310981866</v>
      </c>
      <c r="AI70" s="205">
        <f t="shared" si="100"/>
        <v>22378.617310981866</v>
      </c>
      <c r="AJ70" s="205">
        <f t="shared" si="100"/>
        <v>22378.617310981866</v>
      </c>
      <c r="AK70" s="205">
        <f t="shared" si="100"/>
        <v>22378.617310981866</v>
      </c>
      <c r="AL70" s="205">
        <f t="shared" si="100"/>
        <v>22378.617310981866</v>
      </c>
      <c r="AM70" s="205">
        <f t="shared" si="100"/>
        <v>22378.617310981866</v>
      </c>
      <c r="AN70" s="205">
        <f t="shared" si="100"/>
        <v>22378.617310981866</v>
      </c>
      <c r="AO70" s="205">
        <f t="shared" si="100"/>
        <v>22378.617310981866</v>
      </c>
      <c r="AP70" s="205">
        <f t="shared" si="100"/>
        <v>22378.617310981866</v>
      </c>
      <c r="AQ70" s="205">
        <f t="shared" si="100"/>
        <v>22378.617310981866</v>
      </c>
      <c r="AR70" s="205">
        <f t="shared" si="100"/>
        <v>22378.617310981866</v>
      </c>
      <c r="AS70" s="205">
        <f t="shared" si="100"/>
        <v>22378.617310981866</v>
      </c>
      <c r="AT70" s="205">
        <f t="shared" si="100"/>
        <v>22378.617310981866</v>
      </c>
      <c r="AU70" s="205">
        <f t="shared" si="100"/>
        <v>22378.617310981866</v>
      </c>
      <c r="AV70" s="205">
        <f t="shared" si="100"/>
        <v>22378.617310981866</v>
      </c>
      <c r="AW70" s="205">
        <f t="shared" si="100"/>
        <v>22378.617310981866</v>
      </c>
      <c r="AX70" s="205">
        <f t="shared" si="100"/>
        <v>22378.617310981866</v>
      </c>
      <c r="AY70" s="205">
        <f t="shared" si="100"/>
        <v>22378.617310981866</v>
      </c>
      <c r="AZ70" s="205">
        <f t="shared" si="100"/>
        <v>22378.617310981866</v>
      </c>
      <c r="BA70" s="205">
        <f t="shared" si="100"/>
        <v>22378.617310981866</v>
      </c>
      <c r="BB70" s="205">
        <f t="shared" si="100"/>
        <v>22378.617310981866</v>
      </c>
      <c r="BC70" s="205">
        <f t="shared" si="100"/>
        <v>22378.617310981866</v>
      </c>
      <c r="BD70" s="205">
        <f t="shared" si="100"/>
        <v>11027.903224050633</v>
      </c>
      <c r="BE70" s="205">
        <f t="shared" si="100"/>
        <v>11197.732524050632</v>
      </c>
      <c r="BF70" s="205">
        <f t="shared" si="100"/>
        <v>11367.561824050634</v>
      </c>
      <c r="BG70" s="205">
        <f t="shared" si="100"/>
        <v>11537.391124050633</v>
      </c>
      <c r="BH70" s="205">
        <f t="shared" si="100"/>
        <v>11707.220424050633</v>
      </c>
      <c r="BI70" s="205">
        <f t="shared" si="100"/>
        <v>11877.049724050632</v>
      </c>
      <c r="BJ70" s="205">
        <f t="shared" si="100"/>
        <v>12046.879024050631</v>
      </c>
      <c r="BK70" s="205">
        <f t="shared" si="100"/>
        <v>12216.708324050633</v>
      </c>
      <c r="BL70" s="205">
        <f t="shared" si="100"/>
        <v>12386.537624050632</v>
      </c>
      <c r="BM70" s="205">
        <f t="shared" si="100"/>
        <v>12556.366924050631</v>
      </c>
      <c r="BN70" s="205">
        <f t="shared" si="100"/>
        <v>12726.196224050631</v>
      </c>
      <c r="BO70" s="205">
        <f t="shared" si="100"/>
        <v>12896.02552405063</v>
      </c>
      <c r="BP70" s="205">
        <f t="shared" si="100"/>
        <v>13065.854824050632</v>
      </c>
      <c r="BQ70" s="205">
        <f t="shared" si="100"/>
        <v>13235.684124050629</v>
      </c>
      <c r="BR70" s="205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13405.51342405063</v>
      </c>
      <c r="BS70" s="205">
        <f t="shared" si="102"/>
        <v>13575.34272405063</v>
      </c>
      <c r="BT70" s="205">
        <f t="shared" si="102"/>
        <v>13745.172024050629</v>
      </c>
      <c r="BU70" s="205">
        <f t="shared" si="102"/>
        <v>13915.001324050631</v>
      </c>
      <c r="BV70" s="205">
        <f t="shared" si="102"/>
        <v>14084.830624050628</v>
      </c>
      <c r="BW70" s="205">
        <f t="shared" si="102"/>
        <v>14254.659924050629</v>
      </c>
      <c r="BX70" s="205">
        <f t="shared" si="102"/>
        <v>14424.489224050629</v>
      </c>
      <c r="BY70" s="205">
        <f t="shared" si="102"/>
        <v>14594.318524050628</v>
      </c>
      <c r="BZ70" s="205">
        <f t="shared" si="102"/>
        <v>14764.147824050628</v>
      </c>
      <c r="CA70" s="205">
        <f t="shared" si="102"/>
        <v>14933.977124050627</v>
      </c>
      <c r="CB70" s="205">
        <f t="shared" si="102"/>
        <v>15103.806424050628</v>
      </c>
      <c r="CC70" s="205">
        <f t="shared" si="102"/>
        <v>15273.635724050628</v>
      </c>
      <c r="CD70" s="205">
        <f t="shared" si="102"/>
        <v>15443.465024050627</v>
      </c>
      <c r="CE70" s="205">
        <f t="shared" si="102"/>
        <v>15613.294324050627</v>
      </c>
      <c r="CF70" s="205">
        <f t="shared" si="102"/>
        <v>15783.123624050626</v>
      </c>
      <c r="CG70" s="205">
        <f t="shared" si="102"/>
        <v>15952.952924050627</v>
      </c>
      <c r="CH70" s="205">
        <f t="shared" si="102"/>
        <v>16122.782224050627</v>
      </c>
      <c r="CI70" s="205">
        <f t="shared" si="102"/>
        <v>16292.611524050626</v>
      </c>
      <c r="CJ70" s="205">
        <f t="shared" si="102"/>
        <v>16462.440824050624</v>
      </c>
      <c r="CK70" s="205">
        <f t="shared" si="102"/>
        <v>16632.270124050625</v>
      </c>
      <c r="CL70" s="205">
        <f t="shared" si="102"/>
        <v>16802.099424050626</v>
      </c>
      <c r="CM70" s="205">
        <f t="shared" si="102"/>
        <v>16971.928724050624</v>
      </c>
      <c r="CN70" s="205">
        <f t="shared" si="102"/>
        <v>17141.758024050625</v>
      </c>
      <c r="CO70" s="205">
        <f t="shared" si="102"/>
        <v>17311.587324050626</v>
      </c>
      <c r="CP70" s="205">
        <f t="shared" si="102"/>
        <v>17481.416624050624</v>
      </c>
      <c r="CQ70" s="205">
        <f t="shared" si="102"/>
        <v>17651.245924050625</v>
      </c>
      <c r="CR70" s="205">
        <f t="shared" si="102"/>
        <v>17821.075224050623</v>
      </c>
      <c r="CS70" s="205">
        <f t="shared" si="102"/>
        <v>17990.904524050624</v>
      </c>
      <c r="CT70" s="205">
        <f t="shared" si="102"/>
        <v>18160.733824050621</v>
      </c>
      <c r="CU70" s="205">
        <f t="shared" si="102"/>
        <v>18330.563124050623</v>
      </c>
      <c r="CV70" s="205">
        <f t="shared" si="102"/>
        <v>18500.392424050624</v>
      </c>
      <c r="CW70" s="205">
        <f t="shared" si="102"/>
        <v>18670.221724050622</v>
      </c>
      <c r="CX70" s="205">
        <f t="shared" si="102"/>
        <v>18840.051024050623</v>
      </c>
      <c r="CY70" s="205">
        <f t="shared" si="102"/>
        <v>19009.880324050624</v>
      </c>
      <c r="CZ70" s="205">
        <f t="shared" si="102"/>
        <v>19179.709624050622</v>
      </c>
      <c r="DA70" s="205">
        <f t="shared" si="102"/>
        <v>19349.538924050619</v>
      </c>
    </row>
    <row r="71" spans="1:105" s="205" customFormat="1">
      <c r="A71" s="205" t="str">
        <f>Income!A86</f>
        <v>Cash transfer - gifts</v>
      </c>
      <c r="F71" s="205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2688.0000000000005</v>
      </c>
      <c r="G71" s="205">
        <f t="shared" si="103"/>
        <v>2688.0000000000005</v>
      </c>
      <c r="H71" s="205">
        <f t="shared" si="103"/>
        <v>2688.0000000000005</v>
      </c>
      <c r="I71" s="205">
        <f t="shared" si="103"/>
        <v>2688.0000000000005</v>
      </c>
      <c r="J71" s="205">
        <f t="shared" si="103"/>
        <v>2688.0000000000005</v>
      </c>
      <c r="K71" s="205">
        <f t="shared" si="103"/>
        <v>2688.0000000000005</v>
      </c>
      <c r="L71" s="205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2688.0000000000005</v>
      </c>
      <c r="M71" s="205">
        <f t="shared" si="103"/>
        <v>2688.0000000000005</v>
      </c>
      <c r="N71" s="205">
        <f t="shared" si="103"/>
        <v>2688.0000000000005</v>
      </c>
      <c r="O71" s="205">
        <f t="shared" si="103"/>
        <v>2688.0000000000005</v>
      </c>
      <c r="P71" s="205">
        <f t="shared" si="103"/>
        <v>2688.0000000000005</v>
      </c>
      <c r="Q71" s="205">
        <f t="shared" si="103"/>
        <v>2688.0000000000005</v>
      </c>
      <c r="R71" s="205">
        <f t="shared" si="103"/>
        <v>2688.0000000000005</v>
      </c>
      <c r="S71" s="205">
        <f t="shared" si="103"/>
        <v>2688.0000000000005</v>
      </c>
      <c r="T71" s="205">
        <f t="shared" si="103"/>
        <v>2688.0000000000005</v>
      </c>
      <c r="U71" s="205">
        <f t="shared" si="103"/>
        <v>2688.0000000000005</v>
      </c>
      <c r="V71" s="205">
        <f t="shared" si="103"/>
        <v>2688.0000000000005</v>
      </c>
      <c r="W71" s="205">
        <f t="shared" si="103"/>
        <v>2688.0000000000005</v>
      </c>
      <c r="X71" s="205">
        <f t="shared" si="103"/>
        <v>2688.0000000000005</v>
      </c>
      <c r="Y71" s="205">
        <f t="shared" si="103"/>
        <v>2688.0000000000005</v>
      </c>
      <c r="Z71" s="205">
        <f t="shared" si="103"/>
        <v>2688.0000000000005</v>
      </c>
      <c r="AA71" s="205">
        <f t="shared" si="103"/>
        <v>2688.0000000000005</v>
      </c>
      <c r="AB71" s="205">
        <f t="shared" si="103"/>
        <v>2688.0000000000005</v>
      </c>
      <c r="AC71" s="205">
        <f t="shared" si="103"/>
        <v>2688.0000000000005</v>
      </c>
      <c r="AD71" s="205">
        <f t="shared" si="103"/>
        <v>2688.0000000000005</v>
      </c>
      <c r="AE71" s="205">
        <f t="shared" si="103"/>
        <v>2715.428571428572</v>
      </c>
      <c r="AF71" s="205">
        <f t="shared" si="103"/>
        <v>2770.2857142857147</v>
      </c>
      <c r="AG71" s="205">
        <f t="shared" si="103"/>
        <v>2825.1428571428578</v>
      </c>
      <c r="AH71" s="205">
        <f t="shared" si="103"/>
        <v>2880.0000000000005</v>
      </c>
      <c r="AI71" s="205">
        <f t="shared" si="103"/>
        <v>2934.8571428571431</v>
      </c>
      <c r="AJ71" s="205">
        <f t="shared" si="103"/>
        <v>2989.7142857142862</v>
      </c>
      <c r="AK71" s="205">
        <f t="shared" si="103"/>
        <v>3044.5714285714289</v>
      </c>
      <c r="AL71" s="205">
        <f t="shared" si="103"/>
        <v>3099.428571428572</v>
      </c>
      <c r="AM71" s="205">
        <f t="shared" si="103"/>
        <v>3154.2857142857147</v>
      </c>
      <c r="AN71" s="205">
        <f t="shared" si="103"/>
        <v>3209.1428571428578</v>
      </c>
      <c r="AO71" s="205">
        <f t="shared" si="103"/>
        <v>3264.0000000000005</v>
      </c>
      <c r="AP71" s="205">
        <f t="shared" si="103"/>
        <v>3318.8571428571431</v>
      </c>
      <c r="AQ71" s="205">
        <f t="shared" si="103"/>
        <v>3373.7142857142862</v>
      </c>
      <c r="AR71" s="205">
        <f t="shared" si="103"/>
        <v>3428.5714285714289</v>
      </c>
      <c r="AS71" s="205">
        <f t="shared" si="103"/>
        <v>3483.4285714285716</v>
      </c>
      <c r="AT71" s="205">
        <f t="shared" si="103"/>
        <v>3538.2857142857147</v>
      </c>
      <c r="AU71" s="205">
        <f t="shared" si="103"/>
        <v>3593.1428571428578</v>
      </c>
      <c r="AV71" s="205">
        <f t="shared" si="103"/>
        <v>3648.0000000000005</v>
      </c>
      <c r="AW71" s="205">
        <f t="shared" si="103"/>
        <v>3702.8571428571431</v>
      </c>
      <c r="AX71" s="205">
        <f t="shared" si="103"/>
        <v>3757.7142857142862</v>
      </c>
      <c r="AY71" s="205">
        <f t="shared" si="103"/>
        <v>3812.5714285714289</v>
      </c>
      <c r="AZ71" s="205">
        <f t="shared" si="103"/>
        <v>3867.4285714285716</v>
      </c>
      <c r="BA71" s="205">
        <f t="shared" si="103"/>
        <v>3922.2857142857147</v>
      </c>
      <c r="BB71" s="205">
        <f t="shared" si="103"/>
        <v>3977.1428571428578</v>
      </c>
      <c r="BC71" s="205">
        <f t="shared" si="103"/>
        <v>4032.0000000000005</v>
      </c>
      <c r="BD71" s="205">
        <f t="shared" si="103"/>
        <v>48361.156700000014</v>
      </c>
      <c r="BE71" s="205">
        <f t="shared" si="103"/>
        <v>48338.313400000014</v>
      </c>
      <c r="BF71" s="205">
        <f t="shared" si="103"/>
        <v>48315.470100000013</v>
      </c>
      <c r="BG71" s="205">
        <f t="shared" si="103"/>
        <v>48292.626800000013</v>
      </c>
      <c r="BH71" s="205">
        <f t="shared" si="103"/>
        <v>48269.783500000012</v>
      </c>
      <c r="BI71" s="205">
        <f t="shared" si="103"/>
        <v>48246.940200000012</v>
      </c>
      <c r="BJ71" s="205">
        <f t="shared" si="103"/>
        <v>48224.096900000011</v>
      </c>
      <c r="BK71" s="205">
        <f t="shared" si="103"/>
        <v>48201.253600000011</v>
      </c>
      <c r="BL71" s="205">
        <f t="shared" si="103"/>
        <v>48178.410300000018</v>
      </c>
      <c r="BM71" s="205">
        <f t="shared" si="103"/>
        <v>48155.567000000017</v>
      </c>
      <c r="BN71" s="205">
        <f t="shared" si="103"/>
        <v>48132.723700000017</v>
      </c>
      <c r="BO71" s="205">
        <f t="shared" si="103"/>
        <v>48109.880400000016</v>
      </c>
      <c r="BP71" s="205">
        <f t="shared" si="103"/>
        <v>48087.037100000016</v>
      </c>
      <c r="BQ71" s="205">
        <f t="shared" si="103"/>
        <v>48064.193800000015</v>
      </c>
      <c r="BR71" s="205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48041.350500000015</v>
      </c>
      <c r="BS71" s="205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48018.507200000015</v>
      </c>
      <c r="BT71" s="205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47995.663900000014</v>
      </c>
      <c r="BU71" s="205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47972.820600000014</v>
      </c>
      <c r="BV71" s="205">
        <f t="shared" si="104"/>
        <v>47949.977300000013</v>
      </c>
      <c r="BW71" s="205">
        <f t="shared" si="104"/>
        <v>47927.134000000013</v>
      </c>
      <c r="BX71" s="205">
        <f t="shared" si="104"/>
        <v>47904.290700000012</v>
      </c>
      <c r="BY71" s="205">
        <f t="shared" si="104"/>
        <v>47881.447400000012</v>
      </c>
      <c r="BZ71" s="205">
        <f t="shared" si="104"/>
        <v>47858.604100000011</v>
      </c>
      <c r="CA71" s="205">
        <f t="shared" si="104"/>
        <v>47835.760800000018</v>
      </c>
      <c r="CB71" s="205">
        <f t="shared" si="104"/>
        <v>47812.917500000018</v>
      </c>
      <c r="CC71" s="205">
        <f t="shared" si="104"/>
        <v>47790.074200000017</v>
      </c>
      <c r="CD71" s="205">
        <f t="shared" si="104"/>
        <v>47767.230900000017</v>
      </c>
      <c r="CE71" s="205">
        <f t="shared" si="104"/>
        <v>47744.387600000016</v>
      </c>
      <c r="CF71" s="205">
        <f t="shared" si="104"/>
        <v>47721.544300000016</v>
      </c>
      <c r="CG71" s="205">
        <f t="shared" si="104"/>
        <v>47698.701000000015</v>
      </c>
      <c r="CH71" s="205">
        <f t="shared" si="104"/>
        <v>47675.857700000015</v>
      </c>
      <c r="CI71" s="205">
        <f t="shared" si="104"/>
        <v>47653.014400000015</v>
      </c>
      <c r="CJ71" s="205">
        <f t="shared" si="104"/>
        <v>47630.171100000014</v>
      </c>
      <c r="CK71" s="205">
        <f t="shared" si="104"/>
        <v>47607.327800000014</v>
      </c>
      <c r="CL71" s="205">
        <f t="shared" si="104"/>
        <v>47584.484500000013</v>
      </c>
      <c r="CM71" s="205">
        <f t="shared" si="104"/>
        <v>47561.641200000013</v>
      </c>
      <c r="CN71" s="205">
        <f t="shared" si="104"/>
        <v>47538.797900000012</v>
      </c>
      <c r="CO71" s="205">
        <f t="shared" si="104"/>
        <v>47515.954600000012</v>
      </c>
      <c r="CP71" s="205">
        <f t="shared" si="104"/>
        <v>47493.111300000011</v>
      </c>
      <c r="CQ71" s="205">
        <f t="shared" si="104"/>
        <v>47470.268000000011</v>
      </c>
      <c r="CR71" s="205">
        <f t="shared" si="104"/>
        <v>47447.424700000018</v>
      </c>
      <c r="CS71" s="205">
        <f t="shared" si="104"/>
        <v>47424.581400000017</v>
      </c>
      <c r="CT71" s="205">
        <f t="shared" si="104"/>
        <v>47401.738100000017</v>
      </c>
      <c r="CU71" s="205">
        <f t="shared" si="104"/>
        <v>47378.894800000016</v>
      </c>
      <c r="CV71" s="205">
        <f t="shared" si="104"/>
        <v>47356.051500000016</v>
      </c>
      <c r="CW71" s="205">
        <f t="shared" si="104"/>
        <v>47333.208200000015</v>
      </c>
      <c r="CX71" s="205">
        <f t="shared" si="104"/>
        <v>47310.364900000015</v>
      </c>
      <c r="CY71" s="205">
        <f t="shared" si="104"/>
        <v>47287.521600000015</v>
      </c>
      <c r="CZ71" s="205">
        <f t="shared" si="104"/>
        <v>47264.678300000014</v>
      </c>
      <c r="DA71" s="205">
        <f t="shared" si="104"/>
        <v>47241.835000000014</v>
      </c>
    </row>
    <row r="72" spans="1:105" s="205" customFormat="1">
      <c r="A72" s="205" t="str">
        <f>Income!A88</f>
        <v>TOTAL</v>
      </c>
      <c r="F72" s="205">
        <f>SUM(F59:F71)</f>
        <v>39411.093103963438</v>
      </c>
      <c r="G72" s="205">
        <f t="shared" ref="G72:BR72" si="105">SUM(G59:G71)</f>
        <v>39411.093103963438</v>
      </c>
      <c r="H72" s="205">
        <f t="shared" si="105"/>
        <v>39411.093103963438</v>
      </c>
      <c r="I72" s="205">
        <f t="shared" si="105"/>
        <v>39411.093103963438</v>
      </c>
      <c r="J72" s="205">
        <f t="shared" si="105"/>
        <v>39411.093103963438</v>
      </c>
      <c r="K72" s="205">
        <f t="shared" si="105"/>
        <v>39411.093103963438</v>
      </c>
      <c r="L72" s="205">
        <f t="shared" si="105"/>
        <v>39411.093103963438</v>
      </c>
      <c r="M72" s="205">
        <f t="shared" si="105"/>
        <v>39411.093103963438</v>
      </c>
      <c r="N72" s="205">
        <f t="shared" si="105"/>
        <v>39411.093103963438</v>
      </c>
      <c r="O72" s="205">
        <f t="shared" si="105"/>
        <v>39411.093103963438</v>
      </c>
      <c r="P72" s="205">
        <f t="shared" si="105"/>
        <v>39411.093103963438</v>
      </c>
      <c r="Q72" s="205">
        <f t="shared" si="105"/>
        <v>39411.093103963438</v>
      </c>
      <c r="R72" s="205">
        <f t="shared" si="105"/>
        <v>39411.093103963438</v>
      </c>
      <c r="S72" s="205">
        <f t="shared" si="105"/>
        <v>39411.093103963438</v>
      </c>
      <c r="T72" s="205">
        <f t="shared" si="105"/>
        <v>39411.093103963438</v>
      </c>
      <c r="U72" s="205">
        <f t="shared" si="105"/>
        <v>39411.093103963438</v>
      </c>
      <c r="V72" s="205">
        <f t="shared" si="105"/>
        <v>39411.093103963438</v>
      </c>
      <c r="W72" s="205">
        <f t="shared" si="105"/>
        <v>39411.093103963438</v>
      </c>
      <c r="X72" s="205">
        <f t="shared" si="105"/>
        <v>39411.093103963438</v>
      </c>
      <c r="Y72" s="205">
        <f t="shared" si="105"/>
        <v>39411.093103963438</v>
      </c>
      <c r="Z72" s="205">
        <f t="shared" si="105"/>
        <v>39411.093103963438</v>
      </c>
      <c r="AA72" s="205">
        <f t="shared" si="105"/>
        <v>39411.093103963438</v>
      </c>
      <c r="AB72" s="205">
        <f t="shared" si="105"/>
        <v>39411.093103963438</v>
      </c>
      <c r="AC72" s="205">
        <f t="shared" si="105"/>
        <v>39411.093103963438</v>
      </c>
      <c r="AD72" s="205">
        <f t="shared" si="105"/>
        <v>39411.093103963438</v>
      </c>
      <c r="AE72" s="205">
        <f t="shared" si="105"/>
        <v>39673.598612621507</v>
      </c>
      <c r="AF72" s="205">
        <f t="shared" si="105"/>
        <v>40198.609629937622</v>
      </c>
      <c r="AG72" s="205">
        <f t="shared" si="105"/>
        <v>40723.620647253738</v>
      </c>
      <c r="AH72" s="205">
        <f t="shared" si="105"/>
        <v>41248.631664569861</v>
      </c>
      <c r="AI72" s="205">
        <f t="shared" si="105"/>
        <v>41773.642681885984</v>
      </c>
      <c r="AJ72" s="205">
        <f t="shared" si="105"/>
        <v>42298.653699202099</v>
      </c>
      <c r="AK72" s="205">
        <f t="shared" si="105"/>
        <v>42823.664716518215</v>
      </c>
      <c r="AL72" s="205">
        <f t="shared" si="105"/>
        <v>43348.675733834345</v>
      </c>
      <c r="AM72" s="205">
        <f t="shared" si="105"/>
        <v>43873.686751150461</v>
      </c>
      <c r="AN72" s="205">
        <f t="shared" si="105"/>
        <v>44398.697768466576</v>
      </c>
      <c r="AO72" s="205">
        <f t="shared" si="105"/>
        <v>44923.708785782706</v>
      </c>
      <c r="AP72" s="205">
        <f t="shared" si="105"/>
        <v>45448.719803098822</v>
      </c>
      <c r="AQ72" s="205">
        <f t="shared" si="105"/>
        <v>45973.730820414945</v>
      </c>
      <c r="AR72" s="205">
        <f t="shared" si="105"/>
        <v>46498.741837731061</v>
      </c>
      <c r="AS72" s="205">
        <f t="shared" si="105"/>
        <v>47023.752855047183</v>
      </c>
      <c r="AT72" s="205">
        <f t="shared" si="105"/>
        <v>47548.763872363306</v>
      </c>
      <c r="AU72" s="205">
        <f t="shared" si="105"/>
        <v>48073.774889679422</v>
      </c>
      <c r="AV72" s="205">
        <f t="shared" si="105"/>
        <v>48598.785906995545</v>
      </c>
      <c r="AW72" s="205">
        <f t="shared" si="105"/>
        <v>49123.796924311668</v>
      </c>
      <c r="AX72" s="205">
        <f t="shared" si="105"/>
        <v>49648.807941627791</v>
      </c>
      <c r="AY72" s="205">
        <f t="shared" si="105"/>
        <v>50173.818958943906</v>
      </c>
      <c r="AZ72" s="205">
        <f t="shared" si="105"/>
        <v>50698.829976260029</v>
      </c>
      <c r="BA72" s="205">
        <f t="shared" si="105"/>
        <v>51223.840993576152</v>
      </c>
      <c r="BB72" s="205">
        <f t="shared" si="105"/>
        <v>51748.852010892268</v>
      </c>
      <c r="BC72" s="205">
        <f t="shared" si="105"/>
        <v>52273.863028208383</v>
      </c>
      <c r="BD72" s="205">
        <f t="shared" si="105"/>
        <v>413772.48594977672</v>
      </c>
      <c r="BE72" s="205">
        <f t="shared" si="105"/>
        <v>419041.36974977679</v>
      </c>
      <c r="BF72" s="205">
        <f t="shared" si="105"/>
        <v>424310.25354977674</v>
      </c>
      <c r="BG72" s="205">
        <f t="shared" si="105"/>
        <v>429579.13734977675</v>
      </c>
      <c r="BH72" s="205">
        <f t="shared" si="105"/>
        <v>434848.0211497767</v>
      </c>
      <c r="BI72" s="205">
        <f t="shared" si="105"/>
        <v>440116.90494977665</v>
      </c>
      <c r="BJ72" s="205">
        <f t="shared" si="105"/>
        <v>445385.78874977672</v>
      </c>
      <c r="BK72" s="205">
        <f t="shared" si="105"/>
        <v>450654.67254977673</v>
      </c>
      <c r="BL72" s="205">
        <f t="shared" si="105"/>
        <v>455923.55634977669</v>
      </c>
      <c r="BM72" s="205">
        <f t="shared" si="105"/>
        <v>461192.44014977681</v>
      </c>
      <c r="BN72" s="205">
        <f t="shared" si="105"/>
        <v>466461.32394977676</v>
      </c>
      <c r="BO72" s="205">
        <f t="shared" si="105"/>
        <v>471730.20774977678</v>
      </c>
      <c r="BP72" s="205">
        <f t="shared" si="105"/>
        <v>476999.09154977667</v>
      </c>
      <c r="BQ72" s="205">
        <f t="shared" si="105"/>
        <v>482267.97534977668</v>
      </c>
      <c r="BR72" s="205">
        <f t="shared" si="105"/>
        <v>487536.85914977675</v>
      </c>
      <c r="BS72" s="205">
        <f t="shared" ref="BS72:DA72" si="106">SUM(BS59:BS71)</f>
        <v>492805.7429497767</v>
      </c>
      <c r="BT72" s="205">
        <f t="shared" si="106"/>
        <v>498074.62674977677</v>
      </c>
      <c r="BU72" s="205">
        <f t="shared" si="106"/>
        <v>503343.51054977684</v>
      </c>
      <c r="BV72" s="205">
        <f t="shared" si="106"/>
        <v>508612.39434977679</v>
      </c>
      <c r="BW72" s="205">
        <f t="shared" si="106"/>
        <v>513881.27814977674</v>
      </c>
      <c r="BX72" s="205">
        <f t="shared" si="106"/>
        <v>519150.1619497767</v>
      </c>
      <c r="BY72" s="205">
        <f t="shared" si="106"/>
        <v>524419.04574977676</v>
      </c>
      <c r="BZ72" s="205">
        <f t="shared" si="106"/>
        <v>529687.92954977683</v>
      </c>
      <c r="CA72" s="205">
        <f t="shared" si="106"/>
        <v>534956.81334977667</v>
      </c>
      <c r="CB72" s="205">
        <f t="shared" si="106"/>
        <v>540225.69714977685</v>
      </c>
      <c r="CC72" s="205">
        <f t="shared" si="106"/>
        <v>545494.58094977681</v>
      </c>
      <c r="CD72" s="205">
        <f t="shared" si="106"/>
        <v>550763.46474977676</v>
      </c>
      <c r="CE72" s="205">
        <f t="shared" si="106"/>
        <v>556032.34854977671</v>
      </c>
      <c r="CF72" s="205">
        <f t="shared" si="106"/>
        <v>561301.23234977678</v>
      </c>
      <c r="CG72" s="205">
        <f t="shared" si="106"/>
        <v>566570.11614977685</v>
      </c>
      <c r="CH72" s="205">
        <f t="shared" si="106"/>
        <v>571838.9999497768</v>
      </c>
      <c r="CI72" s="205">
        <f t="shared" si="106"/>
        <v>577107.88374977675</v>
      </c>
      <c r="CJ72" s="205">
        <f t="shared" si="106"/>
        <v>582376.76754977682</v>
      </c>
      <c r="CK72" s="205">
        <f t="shared" si="106"/>
        <v>587645.65134977677</v>
      </c>
      <c r="CL72" s="205">
        <f t="shared" si="106"/>
        <v>592914.53514977673</v>
      </c>
      <c r="CM72" s="205">
        <f t="shared" si="106"/>
        <v>598183.41894977679</v>
      </c>
      <c r="CN72" s="205">
        <f t="shared" si="106"/>
        <v>603452.30274977686</v>
      </c>
      <c r="CO72" s="205">
        <f t="shared" si="106"/>
        <v>608721.18654977682</v>
      </c>
      <c r="CP72" s="205">
        <f t="shared" si="106"/>
        <v>613990.07034977665</v>
      </c>
      <c r="CQ72" s="205">
        <f t="shared" si="106"/>
        <v>619258.95414977684</v>
      </c>
      <c r="CR72" s="205">
        <f t="shared" si="106"/>
        <v>624527.83794977679</v>
      </c>
      <c r="CS72" s="205">
        <f t="shared" si="106"/>
        <v>629796.72174977686</v>
      </c>
      <c r="CT72" s="205">
        <f t="shared" si="106"/>
        <v>635065.60554977693</v>
      </c>
      <c r="CU72" s="205">
        <f t="shared" si="106"/>
        <v>640334.48934977676</v>
      </c>
      <c r="CV72" s="205">
        <f t="shared" si="106"/>
        <v>645603.37314977671</v>
      </c>
      <c r="CW72" s="205">
        <f t="shared" si="106"/>
        <v>650872.25694977667</v>
      </c>
      <c r="CX72" s="205">
        <f t="shared" si="106"/>
        <v>656141.14074977685</v>
      </c>
      <c r="CY72" s="205">
        <f t="shared" si="106"/>
        <v>661410.0245497768</v>
      </c>
      <c r="CZ72" s="205">
        <f t="shared" si="106"/>
        <v>666678.90834977687</v>
      </c>
      <c r="DA72" s="205">
        <f t="shared" si="106"/>
        <v>671947.79214977683</v>
      </c>
    </row>
    <row r="73" spans="1:105">
      <c r="A73" s="202" t="str">
        <f>Income!A89</f>
        <v>Food Poverty line</v>
      </c>
    </row>
    <row r="74" spans="1:105">
      <c r="A74" s="202" t="str">
        <f>Income!A90</f>
        <v>Lower Bound Poverty line</v>
      </c>
    </row>
    <row r="96" spans="4:15"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</row>
    <row r="97" spans="1:31">
      <c r="C97" s="211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</row>
    <row r="98" spans="1:31">
      <c r="C98" s="211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</row>
    <row r="99" spans="1:31">
      <c r="C99" s="211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</row>
    <row r="100" spans="1:31">
      <c r="C100" s="211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</row>
    <row r="101" spans="1:31">
      <c r="C101" s="211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</row>
    <row r="107" spans="1:31">
      <c r="B107" s="215">
        <f>A23</f>
        <v>0</v>
      </c>
      <c r="C107" s="215">
        <f>B23</f>
        <v>49</v>
      </c>
      <c r="D107" s="215">
        <f>C23</f>
        <v>49</v>
      </c>
      <c r="E107" s="215">
        <f>D23</f>
        <v>49</v>
      </c>
      <c r="F107" s="215">
        <f>E23</f>
        <v>49</v>
      </c>
      <c r="AD107" s="202" t="s">
        <v>119</v>
      </c>
    </row>
    <row r="108" spans="1:31">
      <c r="A108" s="214" t="str">
        <f t="shared" ref="A108:A120" si="107">A42</f>
        <v>Own crops Consumed</v>
      </c>
      <c r="B108" s="213">
        <v>0</v>
      </c>
      <c r="C108" s="213">
        <f>AD42</f>
        <v>0</v>
      </c>
      <c r="D108" s="213">
        <f>BU42</f>
        <v>4.7986000000000217</v>
      </c>
      <c r="E108" s="213">
        <f>CR42</f>
        <v>4.7986000000000217</v>
      </c>
      <c r="F108" s="213">
        <f xml:space="preserve"> 0.0529*F107^2 - 5.8907*F107 + 166.43</f>
        <v>4.7986000000000217</v>
      </c>
    </row>
    <row r="109" spans="1:31">
      <c r="A109" s="214" t="str">
        <f t="shared" si="107"/>
        <v>Own crops sold</v>
      </c>
      <c r="B109" s="213">
        <f xml:space="preserve"> 0.2249*B107^2 + 18.644*B107 + 340.26</f>
        <v>340.26</v>
      </c>
      <c r="C109" s="213">
        <f>AD43</f>
        <v>340.26</v>
      </c>
      <c r="D109" s="213">
        <f t="shared" ref="D109:D120" si="108">BU43</f>
        <v>-33.31110000000001</v>
      </c>
      <c r="E109" s="213">
        <f t="shared" ref="E109:E120" si="109">CR43</f>
        <v>-33.31110000000001</v>
      </c>
      <c r="F109" s="213">
        <f xml:space="preserve"> 0.2249*F107^2 - 18.644*F107 + 340.26</f>
        <v>-33.31110000000001</v>
      </c>
      <c r="AD109" s="218" t="s">
        <v>122</v>
      </c>
      <c r="AE109" s="202">
        <f>(0.0000001/7+0.00002/6+0.0039/5+0.2271/4+1.2857/3+16.311/2+13342)</f>
        <v>13350.641625014287</v>
      </c>
    </row>
    <row r="110" spans="1:31">
      <c r="A110" s="214" t="str">
        <f t="shared" si="107"/>
        <v>Animal products consumed</v>
      </c>
      <c r="B110" s="213">
        <v>0</v>
      </c>
      <c r="C110" s="213">
        <f t="shared" ref="C110:C120" si="110">AD44</f>
        <v>0</v>
      </c>
      <c r="D110" s="213">
        <f t="shared" si="108"/>
        <v>8.7981999999999978</v>
      </c>
      <c r="E110" s="213">
        <f t="shared" si="109"/>
        <v>8.7981999999999978</v>
      </c>
      <c r="F110" s="213">
        <f xml:space="preserve"> -0.005*F107^2 + 0.7378*F107 - 15.349</f>
        <v>8.7981999999999978</v>
      </c>
      <c r="AD110" s="218" t="s">
        <v>120</v>
      </c>
      <c r="AE110" s="202">
        <f>(0.5*(DA72-F72))</f>
        <v>316268.3495229067</v>
      </c>
    </row>
    <row r="111" spans="1:31">
      <c r="A111" s="214" t="str">
        <f t="shared" si="107"/>
        <v>Animal products sold</v>
      </c>
      <c r="B111" s="213">
        <v>0</v>
      </c>
      <c r="C111" s="213">
        <f t="shared" si="110"/>
        <v>0</v>
      </c>
      <c r="D111" s="213">
        <f t="shared" si="108"/>
        <v>0</v>
      </c>
      <c r="E111" s="213">
        <f t="shared" si="109"/>
        <v>0</v>
      </c>
      <c r="F111" s="213">
        <v>0</v>
      </c>
      <c r="AD111" s="218" t="s">
        <v>121</v>
      </c>
      <c r="AE111" s="213">
        <f>AE109/AE110</f>
        <v>4.2213018296499899E-2</v>
      </c>
    </row>
    <row r="112" spans="1:31">
      <c r="A112" s="214" t="str">
        <f t="shared" si="107"/>
        <v>Animals sold</v>
      </c>
      <c r="B112" s="213">
        <v>0</v>
      </c>
      <c r="C112" s="213">
        <f t="shared" si="110"/>
        <v>0</v>
      </c>
      <c r="D112" s="213">
        <f t="shared" si="108"/>
        <v>0</v>
      </c>
      <c r="E112" s="213">
        <f t="shared" si="109"/>
        <v>0</v>
      </c>
      <c r="F112" s="213">
        <v>0</v>
      </c>
    </row>
    <row r="113" spans="1:31">
      <c r="A113" s="214" t="str">
        <f t="shared" si="107"/>
        <v>Wild foods consumed and sold</v>
      </c>
      <c r="B113" s="213">
        <v>0</v>
      </c>
      <c r="C113" s="213">
        <f t="shared" si="110"/>
        <v>0</v>
      </c>
      <c r="D113" s="213">
        <f t="shared" si="108"/>
        <v>-27.074200000000019</v>
      </c>
      <c r="E113" s="213">
        <f t="shared" si="109"/>
        <v>-27.074200000000019</v>
      </c>
      <c r="F113" s="213">
        <f xml:space="preserve"> 0.0898*F107^2 - 11.826*F107 + 336.79</f>
        <v>-27.074200000000019</v>
      </c>
      <c r="AD113" s="218" t="s">
        <v>123</v>
      </c>
      <c r="AE113" s="202">
        <v>0.57299999999999995</v>
      </c>
    </row>
    <row r="114" spans="1:31">
      <c r="A114" s="214" t="str">
        <f t="shared" si="107"/>
        <v>Labour - casual</v>
      </c>
      <c r="B114" s="213">
        <v>0</v>
      </c>
      <c r="C114" s="213">
        <f t="shared" si="110"/>
        <v>0</v>
      </c>
      <c r="D114" s="213">
        <f t="shared" si="108"/>
        <v>0</v>
      </c>
      <c r="E114" s="213">
        <f t="shared" si="109"/>
        <v>0</v>
      </c>
      <c r="F114" s="213">
        <v>0</v>
      </c>
      <c r="AD114" s="218" t="s">
        <v>124</v>
      </c>
      <c r="AE114" s="202">
        <v>0.51500000000000001</v>
      </c>
    </row>
    <row r="115" spans="1:31">
      <c r="A115" s="214" t="str">
        <f t="shared" si="107"/>
        <v>Labour - formal emp</v>
      </c>
      <c r="B115" s="213">
        <v>0</v>
      </c>
      <c r="C115" s="213">
        <f t="shared" si="110"/>
        <v>0</v>
      </c>
      <c r="D115" s="213">
        <f t="shared" si="108"/>
        <v>4315.3280000000022</v>
      </c>
      <c r="E115" s="213">
        <f t="shared" si="109"/>
        <v>4315.3280000000022</v>
      </c>
      <c r="F115" s="213">
        <f xml:space="preserve"> -2.582*F107^2 + 352.49*F107 - 6757.3</f>
        <v>4315.3280000000022</v>
      </c>
    </row>
    <row r="116" spans="1:31">
      <c r="A116" s="214" t="str">
        <f t="shared" si="107"/>
        <v>Self - employment</v>
      </c>
      <c r="B116" s="213">
        <v>0</v>
      </c>
      <c r="C116" s="213">
        <f t="shared" si="110"/>
        <v>0</v>
      </c>
      <c r="D116" s="213">
        <f t="shared" si="108"/>
        <v>786.95519999999999</v>
      </c>
      <c r="E116" s="213">
        <f t="shared" si="109"/>
        <v>786.95519999999999</v>
      </c>
      <c r="F116" s="213">
        <f xml:space="preserve"> 0.025*F107^2 - 2.8902*F107 + 868.55</f>
        <v>786.95519999999999</v>
      </c>
    </row>
    <row r="117" spans="1:31">
      <c r="A117" s="214" t="str">
        <f t="shared" si="107"/>
        <v>Small business/petty trading</v>
      </c>
      <c r="B117" s="213">
        <v>0</v>
      </c>
      <c r="C117" s="213">
        <f t="shared" si="110"/>
        <v>0</v>
      </c>
      <c r="D117" s="213">
        <f t="shared" si="108"/>
        <v>39.328899999999976</v>
      </c>
      <c r="E117" s="213">
        <f t="shared" si="109"/>
        <v>39.328899999999976</v>
      </c>
      <c r="F117" s="213">
        <f xml:space="preserve"> 1.6289*F107^2 - 121.84*F107 + 2098.5</f>
        <v>39.328899999999976</v>
      </c>
    </row>
    <row r="118" spans="1:31">
      <c r="A118" s="214" t="str">
        <f t="shared" si="107"/>
        <v>Food transfer - official</v>
      </c>
      <c r="B118" s="213">
        <f xml:space="preserve"> 0</f>
        <v>0</v>
      </c>
      <c r="C118" s="213">
        <f t="shared" si="110"/>
        <v>0</v>
      </c>
      <c r="D118" s="213">
        <f t="shared" si="108"/>
        <v>-38.248799999999974</v>
      </c>
      <c r="E118" s="213">
        <f t="shared" si="109"/>
        <v>-38.248799999999974</v>
      </c>
      <c r="F118" s="213">
        <f>0.0411*F107^2 - 5.0851*F107 + 112.24</f>
        <v>-38.248799999999974</v>
      </c>
    </row>
    <row r="119" spans="1:31">
      <c r="A119" s="214" t="str">
        <f t="shared" si="107"/>
        <v>Cash transfer - official</v>
      </c>
      <c r="B119" s="213">
        <v>0</v>
      </c>
      <c r="C119" s="213">
        <f t="shared" si="110"/>
        <v>0</v>
      </c>
      <c r="D119" s="213">
        <f t="shared" si="108"/>
        <v>169.82929999999976</v>
      </c>
      <c r="E119" s="213">
        <f t="shared" si="109"/>
        <v>169.82929999999976</v>
      </c>
      <c r="F119" s="213">
        <f xml:space="preserve"> -0.4727*F107^2 + 44.988*F107 - 899.63</f>
        <v>169.82929999999976</v>
      </c>
    </row>
    <row r="120" spans="1:31">
      <c r="A120" s="214" t="str">
        <f t="shared" si="107"/>
        <v>Cash transfer - gifts</v>
      </c>
      <c r="B120" s="213">
        <v>0</v>
      </c>
      <c r="C120" s="213">
        <f t="shared" si="110"/>
        <v>0</v>
      </c>
      <c r="D120" s="213">
        <f t="shared" si="108"/>
        <v>-22.843299999999999</v>
      </c>
      <c r="E120" s="213">
        <f t="shared" si="109"/>
        <v>-22.843299999999999</v>
      </c>
      <c r="F120" s="213">
        <f xml:space="preserve"> 0.1467*F107^2 - 15.6*F107 + 389.33</f>
        <v>-22.843299999999999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Lawrence;Charles Rethman (seasonality, total income, percentiles);SVAC</dc:creator>
  <cp:lastModifiedBy>Charles Rethman</cp:lastModifiedBy>
  <cp:lastPrinted>2015-11-30T16:17:02Z</cp:lastPrinted>
  <dcterms:created xsi:type="dcterms:W3CDTF">2006-01-21T10:30:34Z</dcterms:created>
  <dcterms:modified xsi:type="dcterms:W3CDTF">2015-12-02T08:50:43Z</dcterms:modified>
</cp:coreProperties>
</file>